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oe\Dropbox\Sabrina en Jeroen\Jeroen\VBOP\Ondernemingsplannen\Te plaatsen plannen\Yogastudio\"/>
    </mc:Choice>
  </mc:AlternateContent>
  <xr:revisionPtr revIDLastSave="0" documentId="13_ncr:1_{3690A730-851C-43DC-8D7D-1FF2A6E20E2F}" xr6:coauthVersionLast="47" xr6:coauthVersionMax="47" xr10:uidLastSave="{00000000-0000-0000-0000-000000000000}"/>
  <bookViews>
    <workbookView xWindow="-120" yWindow="-120" windowWidth="38640" windowHeight="21120" activeTab="5" xr2:uid="{00000000-000D-0000-FFFF-FFFF00000000}"/>
  </bookViews>
  <sheets>
    <sheet name="Investering" sheetId="4" r:id="rId1"/>
    <sheet name="Financiering" sheetId="5" r:id="rId2"/>
    <sheet name="Exploitatie" sheetId="6" r:id="rId3"/>
    <sheet name="Liquiditeit Jaar 1" sheetId="7" r:id="rId4"/>
    <sheet name="Liquiditeit Jaar 2" sheetId="8" r:id="rId5"/>
    <sheet name="Liquiditeit Jaar 3" sheetId="9" r:id="rId6"/>
    <sheet name="Berekening IB ZVW" sheetId="10" r:id="rId7"/>
    <sheet name="Formuleblad" sheetId="11" r:id="rId8"/>
  </sheets>
  <externalReferences>
    <externalReference r:id="rId9"/>
  </externalReferences>
  <definedNames>
    <definedName name="Tabel_2">'[1]Menukeuze''s'!$A$8:$A$12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9" l="1"/>
  <c r="D17" i="9"/>
  <c r="E17" i="9"/>
  <c r="F17" i="9"/>
  <c r="G17" i="9"/>
  <c r="H17" i="9"/>
  <c r="I17" i="9"/>
  <c r="J17" i="9"/>
  <c r="K17" i="9"/>
  <c r="L17" i="9"/>
  <c r="M17" i="9"/>
  <c r="B17" i="9"/>
  <c r="C17" i="8"/>
  <c r="D17" i="8"/>
  <c r="E17" i="8"/>
  <c r="F17" i="8"/>
  <c r="G17" i="8"/>
  <c r="H17" i="8"/>
  <c r="I17" i="8"/>
  <c r="J17" i="8"/>
  <c r="K17" i="8"/>
  <c r="L17" i="8"/>
  <c r="M17" i="8"/>
  <c r="B17" i="8"/>
  <c r="C17" i="7"/>
  <c r="D17" i="7"/>
  <c r="E17" i="7"/>
  <c r="F17" i="7"/>
  <c r="G17" i="7"/>
  <c r="H17" i="7"/>
  <c r="I17" i="7"/>
  <c r="J17" i="7"/>
  <c r="K17" i="7"/>
  <c r="L17" i="7"/>
  <c r="M17" i="7"/>
  <c r="B17" i="7"/>
  <c r="B28" i="6"/>
  <c r="C27" i="6"/>
  <c r="C28" i="6"/>
  <c r="D27" i="6"/>
  <c r="D28" i="6"/>
  <c r="C39" i="6" l="1"/>
  <c r="B39" i="6"/>
  <c r="C38" i="6"/>
  <c r="D38" i="6" s="1"/>
  <c r="D39" i="6" s="1"/>
  <c r="B31" i="6"/>
  <c r="W18" i="6"/>
  <c r="T17" i="6" s="1"/>
  <c r="W12" i="6"/>
  <c r="T11" i="6" s="1"/>
  <c r="W6" i="6"/>
  <c r="T5" i="6" s="1"/>
  <c r="B18" i="4"/>
  <c r="B19" i="4"/>
  <c r="C42" i="11" l="1"/>
  <c r="D8" i="10" s="1"/>
  <c r="C47" i="11"/>
  <c r="D9" i="10" s="1"/>
  <c r="D19" i="11"/>
  <c r="D21" i="11"/>
  <c r="E21" i="11" s="1"/>
  <c r="D22" i="11"/>
  <c r="E22" i="11" s="1"/>
  <c r="A23" i="11"/>
  <c r="D23" i="11"/>
  <c r="E24" i="11"/>
  <c r="D42" i="11"/>
  <c r="G8" i="10" s="1"/>
  <c r="D47" i="11"/>
  <c r="G9" i="10" s="1"/>
  <c r="F19" i="11"/>
  <c r="F20" i="11" s="1"/>
  <c r="E42" i="11"/>
  <c r="J8" i="10" s="1"/>
  <c r="E47" i="11"/>
  <c r="J9" i="10" s="1"/>
  <c r="H19" i="11"/>
  <c r="H21" i="11" s="1"/>
  <c r="I21" i="11" s="1"/>
  <c r="H20" i="11"/>
  <c r="I20" i="11"/>
  <c r="C29" i="7"/>
  <c r="D29" i="7"/>
  <c r="E29" i="7"/>
  <c r="F29" i="7"/>
  <c r="G29" i="7"/>
  <c r="H29" i="7"/>
  <c r="I29" i="7"/>
  <c r="J29" i="7"/>
  <c r="K29" i="7"/>
  <c r="L29" i="7"/>
  <c r="M29" i="7"/>
  <c r="B29" i="7"/>
  <c r="A100" i="6"/>
  <c r="A99" i="6"/>
  <c r="A89" i="6"/>
  <c r="A88" i="6"/>
  <c r="A87" i="6"/>
  <c r="A22" i="7" s="1"/>
  <c r="A86" i="6"/>
  <c r="A21" i="7" s="1"/>
  <c r="A85" i="6"/>
  <c r="A20" i="7" s="1"/>
  <c r="G6" i="6"/>
  <c r="B14" i="5"/>
  <c r="B20" i="5"/>
  <c r="B22" i="5" s="1"/>
  <c r="B9" i="7" s="1"/>
  <c r="N9" i="7" s="1"/>
  <c r="G20" i="5"/>
  <c r="C31" i="6"/>
  <c r="B42" i="6"/>
  <c r="B43" i="6"/>
  <c r="C43" i="6" s="1"/>
  <c r="D43" i="6" s="1"/>
  <c r="B44" i="6"/>
  <c r="C44" i="6" s="1"/>
  <c r="D44" i="6" s="1"/>
  <c r="B45" i="6"/>
  <c r="C45" i="6" s="1"/>
  <c r="D45" i="6" s="1"/>
  <c r="B46" i="6"/>
  <c r="C46" i="6" s="1"/>
  <c r="D46" i="6" s="1"/>
  <c r="A46" i="6"/>
  <c r="B13" i="4"/>
  <c r="C22" i="6"/>
  <c r="D22" i="6" s="1"/>
  <c r="C23" i="6"/>
  <c r="D23" i="6" s="1"/>
  <c r="C24" i="6"/>
  <c r="D24" i="6" s="1"/>
  <c r="C26" i="6"/>
  <c r="D26" i="6" s="1"/>
  <c r="C32" i="6"/>
  <c r="D32" i="6" s="1"/>
  <c r="C33" i="6"/>
  <c r="D33" i="6" s="1"/>
  <c r="D87" i="6"/>
  <c r="M22" i="9" s="1"/>
  <c r="B87" i="6"/>
  <c r="B49" i="6"/>
  <c r="B89" i="6" s="1"/>
  <c r="B16" i="5"/>
  <c r="Q4" i="7"/>
  <c r="Q4" i="8" s="1"/>
  <c r="Q4" i="9" s="1"/>
  <c r="Q6" i="7"/>
  <c r="Q6" i="8" s="1"/>
  <c r="Q6" i="9" s="1"/>
  <c r="N29" i="9"/>
  <c r="N29" i="8"/>
  <c r="N30" i="9"/>
  <c r="A29" i="8"/>
  <c r="A29" i="9" s="1"/>
  <c r="N18" i="9"/>
  <c r="N7" i="8"/>
  <c r="N8" i="8"/>
  <c r="N9" i="8"/>
  <c r="N10" i="8"/>
  <c r="N12" i="8"/>
  <c r="N13" i="8"/>
  <c r="N14" i="8"/>
  <c r="N15" i="8"/>
  <c r="N16" i="8"/>
  <c r="N18" i="8"/>
  <c r="N19" i="8"/>
  <c r="C89" i="6"/>
  <c r="D89" i="6"/>
  <c r="A43" i="6"/>
  <c r="A44" i="6"/>
  <c r="A45" i="6"/>
  <c r="A42" i="6"/>
  <c r="N7" i="9"/>
  <c r="N8" i="9"/>
  <c r="N9" i="9"/>
  <c r="N10" i="9"/>
  <c r="N12" i="9"/>
  <c r="N13" i="9"/>
  <c r="N14" i="9"/>
  <c r="N15" i="9"/>
  <c r="N16" i="9"/>
  <c r="N19" i="9"/>
  <c r="N23" i="9"/>
  <c r="N24" i="9"/>
  <c r="N25" i="9"/>
  <c r="N26" i="9"/>
  <c r="N31" i="9"/>
  <c r="N35" i="9"/>
  <c r="N37" i="9"/>
  <c r="N38" i="9"/>
  <c r="B10" i="5"/>
  <c r="B8" i="7" s="1"/>
  <c r="N8" i="7" s="1"/>
  <c r="N7" i="7"/>
  <c r="N10" i="7"/>
  <c r="N12" i="7"/>
  <c r="N13" i="7"/>
  <c r="N14" i="7"/>
  <c r="N16" i="7"/>
  <c r="N18" i="7"/>
  <c r="N19" i="7"/>
  <c r="N23" i="7"/>
  <c r="N24" i="7"/>
  <c r="N25" i="7"/>
  <c r="N26" i="7"/>
  <c r="N30" i="7"/>
  <c r="N31" i="7"/>
  <c r="N35" i="7"/>
  <c r="N37" i="7"/>
  <c r="N38" i="7"/>
  <c r="N23" i="8"/>
  <c r="N24" i="8"/>
  <c r="N25" i="8"/>
  <c r="N26" i="8"/>
  <c r="N30" i="8"/>
  <c r="N31" i="8"/>
  <c r="N35" i="8"/>
  <c r="N37" i="8"/>
  <c r="N38" i="8"/>
  <c r="S17" i="6"/>
  <c r="D12" i="6" s="1"/>
  <c r="S11" i="6"/>
  <c r="C12" i="6" s="1"/>
  <c r="S5" i="6"/>
  <c r="A17" i="9"/>
  <c r="A6" i="9"/>
  <c r="A17" i="8"/>
  <c r="A6" i="8"/>
  <c r="A17" i="7"/>
  <c r="A6" i="7"/>
  <c r="A33" i="7"/>
  <c r="A33" i="8" s="1"/>
  <c r="A33" i="9" s="1"/>
  <c r="A32" i="7"/>
  <c r="A32" i="8" s="1"/>
  <c r="A32" i="9" s="1"/>
  <c r="A70" i="6"/>
  <c r="A76" i="6"/>
  <c r="I24" i="11" l="1"/>
  <c r="H24" i="11"/>
  <c r="H23" i="11"/>
  <c r="I23" i="11" s="1"/>
  <c r="E23" i="11"/>
  <c r="H22" i="11"/>
  <c r="I22" i="11" s="1"/>
  <c r="I25" i="11" s="1"/>
  <c r="J6" i="10" s="1"/>
  <c r="B85" i="6"/>
  <c r="B20" i="7" s="1"/>
  <c r="C87" i="6"/>
  <c r="E22" i="8" s="1"/>
  <c r="B24" i="5"/>
  <c r="D20" i="11"/>
  <c r="E20" i="11" s="1"/>
  <c r="E25" i="11" s="1"/>
  <c r="D6" i="10" s="1"/>
  <c r="P6" i="6"/>
  <c r="K6" i="7" s="1"/>
  <c r="D24" i="11"/>
  <c r="J10" i="10"/>
  <c r="D10" i="10"/>
  <c r="G10" i="10"/>
  <c r="F23" i="11"/>
  <c r="G23" i="11" s="1"/>
  <c r="F21" i="11"/>
  <c r="G21" i="11" s="1"/>
  <c r="F24" i="11"/>
  <c r="G20" i="11"/>
  <c r="G24" i="11"/>
  <c r="F22" i="11"/>
  <c r="G22" i="11" s="1"/>
  <c r="M6" i="6"/>
  <c r="H6" i="7" s="1"/>
  <c r="H11" i="7" s="1"/>
  <c r="K6" i="6"/>
  <c r="F6" i="7" s="1"/>
  <c r="F44" i="7" s="1"/>
  <c r="D20" i="7"/>
  <c r="J20" i="7"/>
  <c r="I20" i="7"/>
  <c r="F20" i="7"/>
  <c r="L20" i="7"/>
  <c r="R6" i="6"/>
  <c r="M6" i="7" s="1"/>
  <c r="L6" i="6"/>
  <c r="G6" i="7" s="1"/>
  <c r="I6" i="6"/>
  <c r="D6" i="7" s="1"/>
  <c r="N6" i="6"/>
  <c r="I6" i="7" s="1"/>
  <c r="H6" i="6"/>
  <c r="C6" i="7" s="1"/>
  <c r="C11" i="7" s="1"/>
  <c r="R12" i="6"/>
  <c r="M6" i="8" s="1"/>
  <c r="C34" i="6"/>
  <c r="C86" i="6" s="1"/>
  <c r="G21" i="8" s="1"/>
  <c r="B34" i="6"/>
  <c r="B86" i="6" s="1"/>
  <c r="Q6" i="6"/>
  <c r="L6" i="7" s="1"/>
  <c r="O6" i="6"/>
  <c r="J6" i="7" s="1"/>
  <c r="J11" i="7" s="1"/>
  <c r="N29" i="7"/>
  <c r="Q5" i="7"/>
  <c r="L28" i="7" s="1"/>
  <c r="B23" i="4"/>
  <c r="B25" i="4" s="1"/>
  <c r="B15" i="7" s="1"/>
  <c r="N15" i="7" s="1"/>
  <c r="C22" i="7"/>
  <c r="D22" i="7"/>
  <c r="E22" i="7"/>
  <c r="F22" i="7"/>
  <c r="G22" i="7"/>
  <c r="H22" i="7"/>
  <c r="I22" i="7"/>
  <c r="J22" i="7"/>
  <c r="K22" i="7"/>
  <c r="L22" i="7"/>
  <c r="M22" i="7"/>
  <c r="B22" i="7"/>
  <c r="D22" i="9"/>
  <c r="H22" i="9"/>
  <c r="L22" i="9"/>
  <c r="C22" i="9"/>
  <c r="G22" i="9"/>
  <c r="K22" i="9"/>
  <c r="F22" i="9"/>
  <c r="J22" i="9"/>
  <c r="B22" i="9"/>
  <c r="I22" i="9"/>
  <c r="E22" i="9"/>
  <c r="B6" i="7"/>
  <c r="D31" i="6"/>
  <c r="D34" i="6" s="1"/>
  <c r="D86" i="6" s="1"/>
  <c r="A21" i="9"/>
  <c r="A21" i="8"/>
  <c r="L22" i="8"/>
  <c r="A22" i="9"/>
  <c r="A22" i="8"/>
  <c r="C42" i="6"/>
  <c r="B47" i="6"/>
  <c r="B88" i="6" s="1"/>
  <c r="I12" i="6"/>
  <c r="D6" i="8" s="1"/>
  <c r="A20" i="9"/>
  <c r="A20" i="8"/>
  <c r="J6" i="6"/>
  <c r="E6" i="7" s="1"/>
  <c r="D85" i="6" l="1"/>
  <c r="F20" i="9" s="1"/>
  <c r="M20" i="7"/>
  <c r="C20" i="7"/>
  <c r="K20" i="7"/>
  <c r="C85" i="6"/>
  <c r="K20" i="8" s="1"/>
  <c r="G20" i="7"/>
  <c r="E20" i="7"/>
  <c r="H20" i="7"/>
  <c r="B51" i="6"/>
  <c r="D22" i="8"/>
  <c r="F20" i="8"/>
  <c r="I20" i="8"/>
  <c r="H20" i="8"/>
  <c r="K44" i="7"/>
  <c r="C21" i="8"/>
  <c r="K22" i="8"/>
  <c r="J22" i="8"/>
  <c r="I22" i="8"/>
  <c r="H22" i="8"/>
  <c r="G22" i="8"/>
  <c r="C22" i="8"/>
  <c r="B22" i="8"/>
  <c r="F22" i="8"/>
  <c r="M22" i="8"/>
  <c r="K12" i="6"/>
  <c r="F6" i="8" s="1"/>
  <c r="F44" i="8" s="1"/>
  <c r="L12" i="6"/>
  <c r="G6" i="8" s="1"/>
  <c r="H12" i="6"/>
  <c r="C6" i="8" s="1"/>
  <c r="N12" i="6"/>
  <c r="I6" i="8" s="1"/>
  <c r="M18" i="6"/>
  <c r="H6" i="9" s="1"/>
  <c r="J12" i="6"/>
  <c r="E6" i="8" s="1"/>
  <c r="E44" i="8" s="1"/>
  <c r="H44" i="7"/>
  <c r="K11" i="7"/>
  <c r="F11" i="7"/>
  <c r="L21" i="8"/>
  <c r="E21" i="8"/>
  <c r="H21" i="8"/>
  <c r="G11" i="7"/>
  <c r="K21" i="8"/>
  <c r="G25" i="11"/>
  <c r="G6" i="10" s="1"/>
  <c r="L11" i="7"/>
  <c r="G44" i="7"/>
  <c r="C21" i="7"/>
  <c r="D21" i="7"/>
  <c r="F21" i="7"/>
  <c r="H21" i="7"/>
  <c r="J21" i="7"/>
  <c r="L21" i="7"/>
  <c r="L45" i="7" s="1"/>
  <c r="B21" i="7"/>
  <c r="E21" i="7"/>
  <c r="G21" i="7"/>
  <c r="I21" i="7"/>
  <c r="K21" i="7"/>
  <c r="K45" i="7" s="1"/>
  <c r="M21" i="7"/>
  <c r="I44" i="7"/>
  <c r="I11" i="7"/>
  <c r="M44" i="7"/>
  <c r="M11" i="7"/>
  <c r="L44" i="7"/>
  <c r="B21" i="8"/>
  <c r="I21" i="8"/>
  <c r="F21" i="8"/>
  <c r="C44" i="7"/>
  <c r="J21" i="8"/>
  <c r="M21" i="8"/>
  <c r="D21" i="8"/>
  <c r="J44" i="7"/>
  <c r="P12" i="6"/>
  <c r="K6" i="8" s="1"/>
  <c r="M12" i="6"/>
  <c r="H6" i="8" s="1"/>
  <c r="G12" i="6"/>
  <c r="B6" i="8" s="1"/>
  <c r="B44" i="8" s="1"/>
  <c r="O12" i="6"/>
  <c r="J6" i="8" s="1"/>
  <c r="Q12" i="6"/>
  <c r="L6" i="8" s="1"/>
  <c r="D11" i="7"/>
  <c r="D44" i="7"/>
  <c r="J27" i="7"/>
  <c r="G27" i="7"/>
  <c r="M27" i="7"/>
  <c r="Q5" i="8"/>
  <c r="B28" i="7"/>
  <c r="F28" i="7"/>
  <c r="J28" i="7"/>
  <c r="D27" i="7"/>
  <c r="C28" i="7"/>
  <c r="G28" i="7"/>
  <c r="K28" i="7"/>
  <c r="E28" i="7"/>
  <c r="I28" i="7"/>
  <c r="H28" i="7"/>
  <c r="M28" i="7"/>
  <c r="D28" i="7"/>
  <c r="B41" i="4"/>
  <c r="B50" i="4" s="1"/>
  <c r="C20" i="9"/>
  <c r="E20" i="9"/>
  <c r="D20" i="9"/>
  <c r="H20" i="9"/>
  <c r="M11" i="8"/>
  <c r="M44" i="8"/>
  <c r="N22" i="7"/>
  <c r="B44" i="7"/>
  <c r="B11" i="7"/>
  <c r="N6" i="7"/>
  <c r="B91" i="6"/>
  <c r="D11" i="8"/>
  <c r="D44" i="8"/>
  <c r="E11" i="7"/>
  <c r="E44" i="7"/>
  <c r="I44" i="8"/>
  <c r="I11" i="8"/>
  <c r="I18" i="6"/>
  <c r="D6" i="9" s="1"/>
  <c r="Q18" i="6"/>
  <c r="L6" i="9" s="1"/>
  <c r="K18" i="6"/>
  <c r="F6" i="9" s="1"/>
  <c r="J18" i="6"/>
  <c r="E6" i="9" s="1"/>
  <c r="R18" i="6"/>
  <c r="M6" i="9" s="1"/>
  <c r="H18" i="6"/>
  <c r="C6" i="9" s="1"/>
  <c r="N18" i="6"/>
  <c r="I6" i="9" s="1"/>
  <c r="D42" i="6"/>
  <c r="D47" i="6" s="1"/>
  <c r="D88" i="6" s="1"/>
  <c r="C47" i="6"/>
  <c r="C51" i="6" s="1"/>
  <c r="G21" i="9"/>
  <c r="K21" i="9"/>
  <c r="C21" i="9"/>
  <c r="F21" i="9"/>
  <c r="J21" i="9"/>
  <c r="B21" i="9"/>
  <c r="E21" i="9"/>
  <c r="I21" i="9"/>
  <c r="M21" i="9"/>
  <c r="D21" i="9"/>
  <c r="L21" i="9"/>
  <c r="H21" i="9"/>
  <c r="S6" i="6"/>
  <c r="B6" i="6" s="1"/>
  <c r="N22" i="9"/>
  <c r="L20" i="8" l="1"/>
  <c r="E20" i="8"/>
  <c r="F11" i="8"/>
  <c r="N20" i="7"/>
  <c r="M20" i="9"/>
  <c r="I20" i="9"/>
  <c r="C20" i="8"/>
  <c r="C45" i="8" s="1"/>
  <c r="M20" i="8"/>
  <c r="M45" i="8" s="1"/>
  <c r="M46" i="8" s="1"/>
  <c r="B20" i="8"/>
  <c r="D20" i="8"/>
  <c r="D45" i="8" s="1"/>
  <c r="D46" i="8" s="1"/>
  <c r="J20" i="8"/>
  <c r="G20" i="9"/>
  <c r="B20" i="9"/>
  <c r="K20" i="9"/>
  <c r="J20" i="9"/>
  <c r="G45" i="7"/>
  <c r="G46" i="7" s="1"/>
  <c r="L20" i="9"/>
  <c r="G20" i="8"/>
  <c r="G45" i="8" s="1"/>
  <c r="D51" i="6"/>
  <c r="E11" i="8"/>
  <c r="E45" i="8"/>
  <c r="E46" i="8" s="1"/>
  <c r="N22" i="8"/>
  <c r="K46" i="7"/>
  <c r="C45" i="7"/>
  <c r="C46" i="7" s="1"/>
  <c r="C11" i="8"/>
  <c r="C44" i="8"/>
  <c r="O18" i="6"/>
  <c r="J6" i="9" s="1"/>
  <c r="J44" i="9" s="1"/>
  <c r="G11" i="8"/>
  <c r="G44" i="8"/>
  <c r="L18" i="6"/>
  <c r="G6" i="9" s="1"/>
  <c r="G18" i="6"/>
  <c r="B6" i="9" s="1"/>
  <c r="P18" i="6"/>
  <c r="K6" i="9" s="1"/>
  <c r="B11" i="8"/>
  <c r="H45" i="7"/>
  <c r="H46" i="7" s="1"/>
  <c r="I45" i="7"/>
  <c r="I46" i="7" s="1"/>
  <c r="J45" i="7"/>
  <c r="J46" i="7" s="1"/>
  <c r="F45" i="7"/>
  <c r="F46" i="7" s="1"/>
  <c r="N27" i="7"/>
  <c r="D45" i="7"/>
  <c r="D46" i="7" s="1"/>
  <c r="N6" i="8"/>
  <c r="L46" i="7"/>
  <c r="H45" i="8"/>
  <c r="H44" i="8"/>
  <c r="H11" i="8"/>
  <c r="N21" i="8"/>
  <c r="J11" i="8"/>
  <c r="J44" i="8"/>
  <c r="N21" i="7"/>
  <c r="I45" i="8"/>
  <c r="I46" i="8" s="1"/>
  <c r="S12" i="6"/>
  <c r="C6" i="6" s="1"/>
  <c r="C8" i="6" s="1"/>
  <c r="B45" i="8"/>
  <c r="B46" i="8" s="1"/>
  <c r="L45" i="8"/>
  <c r="L44" i="8"/>
  <c r="L11" i="8"/>
  <c r="K11" i="8"/>
  <c r="K44" i="8"/>
  <c r="K45" i="8"/>
  <c r="M45" i="7"/>
  <c r="M46" i="7" s="1"/>
  <c r="G27" i="8"/>
  <c r="J27" i="8"/>
  <c r="M27" i="8"/>
  <c r="Q5" i="9"/>
  <c r="C28" i="8"/>
  <c r="G28" i="8"/>
  <c r="K28" i="8"/>
  <c r="D27" i="8"/>
  <c r="I28" i="8"/>
  <c r="J28" i="8"/>
  <c r="E28" i="8"/>
  <c r="L28" i="8"/>
  <c r="F28" i="8"/>
  <c r="H28" i="8"/>
  <c r="B28" i="8"/>
  <c r="M28" i="8"/>
  <c r="D28" i="8"/>
  <c r="N28" i="7"/>
  <c r="B55" i="6" s="1"/>
  <c r="B95" i="6" s="1"/>
  <c r="I44" i="9"/>
  <c r="I11" i="9"/>
  <c r="L44" i="9"/>
  <c r="L11" i="9"/>
  <c r="L45" i="9"/>
  <c r="H44" i="9"/>
  <c r="H45" i="9"/>
  <c r="H11" i="9"/>
  <c r="N17" i="7"/>
  <c r="B45" i="7"/>
  <c r="B46" i="7" s="1"/>
  <c r="N21" i="9"/>
  <c r="C45" i="9"/>
  <c r="C44" i="9"/>
  <c r="C11" i="9"/>
  <c r="F44" i="9"/>
  <c r="F45" i="9"/>
  <c r="F11" i="9"/>
  <c r="D44" i="9"/>
  <c r="D11" i="9"/>
  <c r="C88" i="6"/>
  <c r="C91" i="6" s="1"/>
  <c r="E45" i="9"/>
  <c r="E44" i="9"/>
  <c r="E11" i="9"/>
  <c r="D91" i="6"/>
  <c r="B8" i="6"/>
  <c r="B70" i="6"/>
  <c r="B72" i="6" s="1"/>
  <c r="G44" i="9"/>
  <c r="G11" i="9"/>
  <c r="M45" i="9"/>
  <c r="M44" i="9"/>
  <c r="M11" i="9"/>
  <c r="E45" i="7"/>
  <c r="E46" i="7" s="1"/>
  <c r="F45" i="8"/>
  <c r="F46" i="8" s="1"/>
  <c r="N11" i="7"/>
  <c r="K45" i="9" l="1"/>
  <c r="J11" i="9"/>
  <c r="N20" i="8"/>
  <c r="J45" i="8"/>
  <c r="J46" i="8" s="1"/>
  <c r="N20" i="9"/>
  <c r="G45" i="9"/>
  <c r="G46" i="9" s="1"/>
  <c r="C46" i="8"/>
  <c r="G46" i="8"/>
  <c r="H34" i="8" s="1"/>
  <c r="J45" i="9"/>
  <c r="J46" i="9" s="1"/>
  <c r="K44" i="9"/>
  <c r="K11" i="9"/>
  <c r="S18" i="6"/>
  <c r="D6" i="6" s="1"/>
  <c r="D70" i="6" s="1"/>
  <c r="D72" i="6" s="1"/>
  <c r="H34" i="7"/>
  <c r="C70" i="6"/>
  <c r="C72" i="6" s="1"/>
  <c r="K34" i="7"/>
  <c r="N11" i="8"/>
  <c r="E34" i="7"/>
  <c r="K46" i="8"/>
  <c r="N27" i="8"/>
  <c r="B34" i="8"/>
  <c r="L46" i="8"/>
  <c r="H46" i="8"/>
  <c r="N17" i="8"/>
  <c r="E34" i="8"/>
  <c r="M46" i="9"/>
  <c r="M27" i="9"/>
  <c r="D27" i="9"/>
  <c r="G27" i="9"/>
  <c r="J27" i="9"/>
  <c r="C28" i="9"/>
  <c r="H28" i="9"/>
  <c r="M28" i="9"/>
  <c r="G28" i="9"/>
  <c r="L28" i="9"/>
  <c r="B28" i="9"/>
  <c r="K28" i="9"/>
  <c r="E28" i="9"/>
  <c r="F28" i="9"/>
  <c r="D28" i="9"/>
  <c r="I28" i="9"/>
  <c r="J28" i="9"/>
  <c r="N28" i="8"/>
  <c r="C55" i="6" s="1"/>
  <c r="C95" i="6" s="1"/>
  <c r="D45" i="9"/>
  <c r="D46" i="9" s="1"/>
  <c r="B44" i="9"/>
  <c r="N6" i="9"/>
  <c r="B11" i="9"/>
  <c r="E46" i="9"/>
  <c r="H46" i="9"/>
  <c r="L46" i="9"/>
  <c r="F46" i="9"/>
  <c r="C46" i="9"/>
  <c r="I45" i="9"/>
  <c r="I46" i="9" s="1"/>
  <c r="K46" i="9" l="1"/>
  <c r="B34" i="9"/>
  <c r="D8" i="6"/>
  <c r="N34" i="7"/>
  <c r="K34" i="8"/>
  <c r="N34" i="8" s="1"/>
  <c r="N28" i="9"/>
  <c r="D55" i="6" s="1"/>
  <c r="D95" i="6" s="1"/>
  <c r="N27" i="9"/>
  <c r="H34" i="9"/>
  <c r="B14" i="6"/>
  <c r="B16" i="6" s="1"/>
  <c r="B76" i="6"/>
  <c r="B78" i="6" s="1"/>
  <c r="B80" i="6" s="1"/>
  <c r="C14" i="6"/>
  <c r="C16" i="6" s="1"/>
  <c r="C76" i="6"/>
  <c r="C78" i="6" s="1"/>
  <c r="C80" i="6" s="1"/>
  <c r="N11" i="9"/>
  <c r="K34" i="9"/>
  <c r="N17" i="9"/>
  <c r="B45" i="9"/>
  <c r="B46" i="9" s="1"/>
  <c r="E34" i="9" s="1"/>
  <c r="N34" i="9" l="1"/>
  <c r="B93" i="6"/>
  <c r="B97" i="6" s="1"/>
  <c r="B81" i="6"/>
  <c r="D14" i="6"/>
  <c r="D16" i="6" s="1"/>
  <c r="D76" i="6"/>
  <c r="D78" i="6" s="1"/>
  <c r="D80" i="6" s="1"/>
  <c r="C93" i="6"/>
  <c r="C97" i="6" s="1"/>
  <c r="C81" i="6"/>
  <c r="B53" i="6"/>
  <c r="B57" i="6" s="1"/>
  <c r="B17" i="6"/>
  <c r="C53" i="6"/>
  <c r="C57" i="6" s="1"/>
  <c r="C17" i="6"/>
  <c r="D3" i="10" l="1"/>
  <c r="D93" i="6"/>
  <c r="D97" i="6" s="1"/>
  <c r="D81" i="6"/>
  <c r="D17" i="6"/>
  <c r="D53" i="6"/>
  <c r="D57" i="6" s="1"/>
  <c r="G3" i="10"/>
  <c r="F10" i="11" l="1"/>
  <c r="G12" i="10"/>
  <c r="G14" i="10" s="1"/>
  <c r="J3" i="10"/>
  <c r="D10" i="11"/>
  <c r="D12" i="10"/>
  <c r="D14" i="10" s="1"/>
  <c r="B34" i="11" l="1"/>
  <c r="E38" i="11" s="1"/>
  <c r="G20" i="10" s="1"/>
  <c r="E3" i="11"/>
  <c r="E6" i="11"/>
  <c r="E5" i="11"/>
  <c r="E30" i="11"/>
  <c r="F30" i="11" s="1"/>
  <c r="G16" i="10" s="1"/>
  <c r="C60" i="6" s="1"/>
  <c r="E4" i="11"/>
  <c r="D6" i="11"/>
  <c r="D3" i="11"/>
  <c r="D5" i="11"/>
  <c r="B30" i="11"/>
  <c r="D30" i="11" s="1"/>
  <c r="D16" i="10" s="1"/>
  <c r="B60" i="6" s="1"/>
  <c r="D4" i="11"/>
  <c r="B33" i="11"/>
  <c r="E37" i="11" s="1"/>
  <c r="D20" i="10" s="1"/>
  <c r="G11" i="11"/>
  <c r="F12" i="11"/>
  <c r="G12" i="11" s="1"/>
  <c r="F14" i="11"/>
  <c r="G14" i="11" s="1"/>
  <c r="F13" i="11"/>
  <c r="G13" i="11" s="1"/>
  <c r="F11" i="11"/>
  <c r="D11" i="11"/>
  <c r="D13" i="11"/>
  <c r="E13" i="11" s="1"/>
  <c r="D15" i="11"/>
  <c r="E15" i="11" s="1"/>
  <c r="F15" i="11" s="1"/>
  <c r="G15" i="11" s="1"/>
  <c r="E11" i="11"/>
  <c r="D14" i="11"/>
  <c r="E14" i="11" s="1"/>
  <c r="D12" i="11"/>
  <c r="E12" i="11" s="1"/>
  <c r="H10" i="11"/>
  <c r="J12" i="10"/>
  <c r="J14" i="10" s="1"/>
  <c r="D7" i="11" l="1"/>
  <c r="D18" i="10" s="1"/>
  <c r="F4" i="11"/>
  <c r="F3" i="11"/>
  <c r="G30" i="11"/>
  <c r="H30" i="11" s="1"/>
  <c r="J16" i="10" s="1"/>
  <c r="D60" i="6" s="1"/>
  <c r="B35" i="11"/>
  <c r="E39" i="11" s="1"/>
  <c r="J20" i="10" s="1"/>
  <c r="F6" i="11"/>
  <c r="F5" i="11"/>
  <c r="H11" i="11"/>
  <c r="H13" i="11"/>
  <c r="I13" i="11" s="1"/>
  <c r="H15" i="11"/>
  <c r="I15" i="11" s="1"/>
  <c r="I11" i="11"/>
  <c r="H14" i="11"/>
  <c r="I14" i="11" s="1"/>
  <c r="H12" i="11"/>
  <c r="I12" i="11" s="1"/>
  <c r="B33" i="7"/>
  <c r="C33" i="7"/>
  <c r="D33" i="7"/>
  <c r="H33" i="7"/>
  <c r="I33" i="7"/>
  <c r="J33" i="7"/>
  <c r="F33" i="7"/>
  <c r="K33" i="7"/>
  <c r="M33" i="7"/>
  <c r="E33" i="7"/>
  <c r="L33" i="7"/>
  <c r="B100" i="6"/>
  <c r="G33" i="7"/>
  <c r="E7" i="11"/>
  <c r="G18" i="10" s="1"/>
  <c r="E16" i="11"/>
  <c r="D21" i="10" s="1"/>
  <c r="G16" i="11"/>
  <c r="G21" i="10" s="1"/>
  <c r="F33" i="8"/>
  <c r="K33" i="8"/>
  <c r="M33" i="8"/>
  <c r="L33" i="8"/>
  <c r="B33" i="8"/>
  <c r="C33" i="8"/>
  <c r="G33" i="8"/>
  <c r="H33" i="8"/>
  <c r="C100" i="6"/>
  <c r="D33" i="8"/>
  <c r="I33" i="8"/>
  <c r="J33" i="8"/>
  <c r="E33" i="8"/>
  <c r="D23" i="10" l="1"/>
  <c r="B59" i="6" s="1"/>
  <c r="K32" i="7" s="1"/>
  <c r="K36" i="7" s="1"/>
  <c r="K40" i="7" s="1"/>
  <c r="G23" i="10"/>
  <c r="C59" i="6" s="1"/>
  <c r="H32" i="8" s="1"/>
  <c r="H36" i="8" s="1"/>
  <c r="H40" i="8" s="1"/>
  <c r="I16" i="11"/>
  <c r="J21" i="10" s="1"/>
  <c r="E33" i="9"/>
  <c r="I33" i="9"/>
  <c r="M33" i="9"/>
  <c r="D100" i="6"/>
  <c r="F33" i="9"/>
  <c r="K33" i="9"/>
  <c r="B33" i="9"/>
  <c r="G33" i="9"/>
  <c r="L33" i="9"/>
  <c r="C33" i="9"/>
  <c r="D33" i="9"/>
  <c r="H33" i="9"/>
  <c r="J33" i="9"/>
  <c r="N33" i="8"/>
  <c r="F7" i="11"/>
  <c r="J18" i="10" s="1"/>
  <c r="N33" i="7"/>
  <c r="J32" i="8" l="1"/>
  <c r="J36" i="8" s="1"/>
  <c r="J40" i="8" s="1"/>
  <c r="E32" i="8"/>
  <c r="E36" i="8" s="1"/>
  <c r="E40" i="8" s="1"/>
  <c r="I32" i="7"/>
  <c r="I36" i="7" s="1"/>
  <c r="I40" i="7" s="1"/>
  <c r="B62" i="6"/>
  <c r="B99" i="6"/>
  <c r="B102" i="6" s="1"/>
  <c r="E32" i="7"/>
  <c r="E36" i="7" s="1"/>
  <c r="E40" i="7" s="1"/>
  <c r="F32" i="7"/>
  <c r="F36" i="7" s="1"/>
  <c r="F40" i="7" s="1"/>
  <c r="C32" i="7"/>
  <c r="C36" i="7" s="1"/>
  <c r="C40" i="7" s="1"/>
  <c r="G32" i="7"/>
  <c r="G36" i="7" s="1"/>
  <c r="G40" i="7" s="1"/>
  <c r="B32" i="7"/>
  <c r="B36" i="7" s="1"/>
  <c r="M32" i="7"/>
  <c r="M36" i="7" s="1"/>
  <c r="M40" i="7" s="1"/>
  <c r="J32" i="7"/>
  <c r="J36" i="7" s="1"/>
  <c r="J40" i="7" s="1"/>
  <c r="L32" i="7"/>
  <c r="L36" i="7" s="1"/>
  <c r="L40" i="7" s="1"/>
  <c r="D32" i="7"/>
  <c r="D36" i="7" s="1"/>
  <c r="D40" i="7" s="1"/>
  <c r="H32" i="7"/>
  <c r="H36" i="7" s="1"/>
  <c r="H40" i="7" s="1"/>
  <c r="F32" i="8"/>
  <c r="F36" i="8" s="1"/>
  <c r="F40" i="8" s="1"/>
  <c r="C99" i="6"/>
  <c r="C102" i="6" s="1"/>
  <c r="L32" i="8"/>
  <c r="L36" i="8" s="1"/>
  <c r="L40" i="8" s="1"/>
  <c r="M32" i="8"/>
  <c r="M36" i="8" s="1"/>
  <c r="M40" i="8" s="1"/>
  <c r="C32" i="8"/>
  <c r="C36" i="8" s="1"/>
  <c r="C40" i="8" s="1"/>
  <c r="I32" i="8"/>
  <c r="I36" i="8" s="1"/>
  <c r="I40" i="8" s="1"/>
  <c r="G32" i="8"/>
  <c r="G36" i="8" s="1"/>
  <c r="G40" i="8" s="1"/>
  <c r="B32" i="8"/>
  <c r="B36" i="8" s="1"/>
  <c r="C62" i="6"/>
  <c r="K32" i="8"/>
  <c r="K36" i="8" s="1"/>
  <c r="K40" i="8" s="1"/>
  <c r="D32" i="8"/>
  <c r="D36" i="8" s="1"/>
  <c r="D40" i="8" s="1"/>
  <c r="J23" i="10"/>
  <c r="D59" i="6" s="1"/>
  <c r="B32" i="9" s="1"/>
  <c r="N33" i="9"/>
  <c r="N32" i="7" l="1"/>
  <c r="J32" i="9"/>
  <c r="J36" i="9" s="1"/>
  <c r="J40" i="9" s="1"/>
  <c r="L32" i="9"/>
  <c r="L36" i="9" s="1"/>
  <c r="L40" i="9" s="1"/>
  <c r="D32" i="9"/>
  <c r="D36" i="9" s="1"/>
  <c r="D40" i="9" s="1"/>
  <c r="D99" i="6"/>
  <c r="D102" i="6" s="1"/>
  <c r="N32" i="8"/>
  <c r="D62" i="6"/>
  <c r="M32" i="9"/>
  <c r="M36" i="9" s="1"/>
  <c r="M40" i="9" s="1"/>
  <c r="K32" i="9"/>
  <c r="K36" i="9" s="1"/>
  <c r="K40" i="9" s="1"/>
  <c r="E32" i="9"/>
  <c r="E36" i="9" s="1"/>
  <c r="E40" i="9" s="1"/>
  <c r="H32" i="9"/>
  <c r="H36" i="9" s="1"/>
  <c r="H40" i="9" s="1"/>
  <c r="G32" i="9"/>
  <c r="G36" i="9" s="1"/>
  <c r="G40" i="9" s="1"/>
  <c r="I32" i="9"/>
  <c r="I36" i="9" s="1"/>
  <c r="I40" i="9" s="1"/>
  <c r="C32" i="9"/>
  <c r="C36" i="9" s="1"/>
  <c r="C40" i="9" s="1"/>
  <c r="F32" i="9"/>
  <c r="F36" i="9" s="1"/>
  <c r="F40" i="9" s="1"/>
  <c r="N36" i="8"/>
  <c r="B40" i="8"/>
  <c r="N40" i="8" s="1"/>
  <c r="N36" i="7"/>
  <c r="B40" i="7"/>
  <c r="B36" i="9"/>
  <c r="N32" i="9" l="1"/>
  <c r="N40" i="7"/>
  <c r="B41" i="7"/>
  <c r="N36" i="9"/>
  <c r="B40" i="9"/>
  <c r="N40" i="9" s="1"/>
  <c r="C39" i="7" l="1"/>
  <c r="C41" i="7" l="1"/>
  <c r="D39" i="7" l="1"/>
  <c r="D41" i="7" l="1"/>
  <c r="E39" i="7" l="1"/>
  <c r="E41" i="7" l="1"/>
  <c r="F39" i="7" l="1"/>
  <c r="F41" i="7" l="1"/>
  <c r="G39" i="7" l="1"/>
  <c r="G41" i="7" l="1"/>
  <c r="H39" i="7" s="1"/>
  <c r="H41" i="7" s="1"/>
  <c r="I39" i="7" s="1"/>
  <c r="I41" i="7" s="1"/>
  <c r="J39" i="7" s="1"/>
  <c r="J41" i="7" s="1"/>
  <c r="K39" i="7" s="1"/>
  <c r="K41" i="7" s="1"/>
  <c r="L39" i="7" s="1"/>
  <c r="L41" i="7" s="1"/>
  <c r="M39" i="7" s="1"/>
  <c r="M41" i="7" s="1"/>
  <c r="N39" i="7" l="1"/>
  <c r="B39" i="8"/>
  <c r="N41" i="7"/>
  <c r="B41" i="8" l="1"/>
  <c r="C39" i="8" l="1"/>
  <c r="C41" i="8" l="1"/>
  <c r="D39" i="8" l="1"/>
  <c r="D41" i="8" l="1"/>
  <c r="E39" i="8" l="1"/>
  <c r="E41" i="8" l="1"/>
  <c r="F39" i="8" l="1"/>
  <c r="F41" i="8" l="1"/>
  <c r="G39" i="8" l="1"/>
  <c r="G41" i="8" s="1"/>
  <c r="H39" i="8" s="1"/>
  <c r="H41" i="8" s="1"/>
  <c r="I39" i="8" s="1"/>
  <c r="I41" i="8" s="1"/>
  <c r="J39" i="8" s="1"/>
  <c r="J41" i="8" s="1"/>
  <c r="K39" i="8" s="1"/>
  <c r="K41" i="8" s="1"/>
  <c r="L39" i="8" s="1"/>
  <c r="L41" i="8" s="1"/>
  <c r="M39" i="8" s="1"/>
  <c r="M41" i="8" l="1"/>
  <c r="N39" i="8"/>
  <c r="B39" i="9" l="1"/>
  <c r="N41" i="8"/>
  <c r="B41" i="9" l="1"/>
  <c r="C39" i="9" l="1"/>
  <c r="C41" i="9" l="1"/>
  <c r="D39" i="9" l="1"/>
  <c r="D41" i="9" l="1"/>
  <c r="E39" i="9" l="1"/>
  <c r="E41" i="9" l="1"/>
  <c r="F39" i="9" l="1"/>
  <c r="F41" i="9" l="1"/>
  <c r="G39" i="9" l="1"/>
  <c r="G41" i="9" s="1"/>
  <c r="H39" i="9" s="1"/>
  <c r="H41" i="9" s="1"/>
  <c r="I39" i="9" s="1"/>
  <c r="I41" i="9" s="1"/>
  <c r="J39" i="9" s="1"/>
  <c r="J41" i="9" s="1"/>
  <c r="K39" i="9" s="1"/>
  <c r="K41" i="9" s="1"/>
  <c r="L39" i="9" s="1"/>
  <c r="L41" i="9" s="1"/>
  <c r="M39" i="9" s="1"/>
  <c r="M41" i="9" l="1"/>
  <c r="N41" i="9" s="1"/>
  <c r="N39" i="9"/>
</calcChain>
</file>

<file path=xl/sharedStrings.xml><?xml version="1.0" encoding="utf-8"?>
<sst xmlns="http://schemas.openxmlformats.org/spreadsheetml/2006/main" count="277" uniqueCount="156">
  <si>
    <t>Zelfstandigenaftrek</t>
  </si>
  <si>
    <t>Ondernemersaftrek</t>
  </si>
  <si>
    <t>Mkb-winstvrijstelling (14%)</t>
  </si>
  <si>
    <t>Belastbare winst uit onderneming</t>
  </si>
  <si>
    <t>Startersaftrek (1e 3 jaar)</t>
  </si>
  <si>
    <t>Arbeidskorting (zie tabel)</t>
  </si>
  <si>
    <t xml:space="preserve">Algemene heffingskorting </t>
  </si>
  <si>
    <t>IB/PH voor kortingen (zie tabel)</t>
  </si>
  <si>
    <t xml:space="preserve">Af te dragen IB/PH </t>
  </si>
  <si>
    <t>Netto winst voor belasting</t>
  </si>
  <si>
    <t>Inkomstenbelasting</t>
  </si>
  <si>
    <t>Max belasting</t>
  </si>
  <si>
    <t>Te betalen belasting</t>
  </si>
  <si>
    <t>Totale arbeidskorting</t>
  </si>
  <si>
    <t>Investeringsaftrek</t>
  </si>
  <si>
    <t>Investeringsbedrag</t>
  </si>
  <si>
    <t>Maximum</t>
  </si>
  <si>
    <t>Afbouw vanaf</t>
  </si>
  <si>
    <t>Berekening</t>
  </si>
  <si>
    <t>Percentage afbouw</t>
  </si>
  <si>
    <t>Minimale algemene heffingskorting</t>
  </si>
  <si>
    <t>Inkomensgrenzen</t>
  </si>
  <si>
    <t>Arbeidskorting</t>
  </si>
  <si>
    <t>Inkomen cf overzicht</t>
  </si>
  <si>
    <t>Totale investeringsaftrek</t>
  </si>
  <si>
    <t>Zorgverzekeringswet</t>
  </si>
  <si>
    <t>Percentage</t>
  </si>
  <si>
    <t>Berekende ZVW</t>
  </si>
  <si>
    <t>Ja</t>
  </si>
  <si>
    <t>Nee</t>
  </si>
  <si>
    <t>Zelfstandigenaftrek (voldaan aan urencriterium?)</t>
  </si>
  <si>
    <t>Vast bedrag</t>
  </si>
  <si>
    <t>Startersaftrek</t>
  </si>
  <si>
    <t>Investering cf overzicht</t>
  </si>
  <si>
    <t>Berekende belasting jaar 1</t>
  </si>
  <si>
    <t>Berekende belasting jaar 2</t>
  </si>
  <si>
    <t>Berekende belasting jaar 3</t>
  </si>
  <si>
    <t>Berekende arbeidskorting jaar 1</t>
  </si>
  <si>
    <t>Berekende investeringsaftrek jaar 1</t>
  </si>
  <si>
    <t>Berekende investeringsaftrek jaar 2</t>
  </si>
  <si>
    <t>Berekende investeringsaftrek jaar 3</t>
  </si>
  <si>
    <t>Jaar 1</t>
  </si>
  <si>
    <t>Jaar 2</t>
  </si>
  <si>
    <t>Jaar 3</t>
  </si>
  <si>
    <t>Berekende algemene heffingskorting jaar 1</t>
  </si>
  <si>
    <t>Berekening jaar 1</t>
  </si>
  <si>
    <t>Berekening jaar 2</t>
  </si>
  <si>
    <t>Berekening jaar 3</t>
  </si>
  <si>
    <t>Berekende algemene heffingskorting jaar 2</t>
  </si>
  <si>
    <t>Berekende algemene heffingskorting jaar 3</t>
  </si>
  <si>
    <t>Investering</t>
  </si>
  <si>
    <t>Vaste Activa</t>
  </si>
  <si>
    <t>Bedrag</t>
  </si>
  <si>
    <t>Overig</t>
  </si>
  <si>
    <t>Totaal Vaste Activa</t>
  </si>
  <si>
    <t>Vlottende Activa</t>
  </si>
  <si>
    <t>Openings- en aanloopkosten</t>
  </si>
  <si>
    <t>Voorfinanciering BTW</t>
  </si>
  <si>
    <t>Banksaldo</t>
  </si>
  <si>
    <t>Totaal Vlottende Activa</t>
  </si>
  <si>
    <t>Totaal Investering</t>
  </si>
  <si>
    <t>Totaal vermogen</t>
  </si>
  <si>
    <t>Totaal vreemd vermogen lang</t>
  </si>
  <si>
    <t>Vreemd vermogen lang</t>
  </si>
  <si>
    <t>Totaal vreemd vermogen kort</t>
  </si>
  <si>
    <t>Vreemd vermogen kort</t>
  </si>
  <si>
    <t>Totaal eigen vermogen</t>
  </si>
  <si>
    <t>Inbreng bedrijfsmiddelen (reeds aangeschaft)</t>
  </si>
  <si>
    <t>Achtergestelde leningen (familie e.d.)</t>
  </si>
  <si>
    <t>Spaargeld</t>
  </si>
  <si>
    <t>Eigen vermogen</t>
  </si>
  <si>
    <t>Financiering</t>
  </si>
  <si>
    <t>Bedrijfsresultaat voor belasting</t>
  </si>
  <si>
    <t>Rentekosten</t>
  </si>
  <si>
    <t>Bedrijfsresultaat voor belasting en rente</t>
  </si>
  <si>
    <t>Totale kosten</t>
  </si>
  <si>
    <t>Afschrijvingen</t>
  </si>
  <si>
    <t>Verkoopkosten</t>
  </si>
  <si>
    <t>Huisvestingskosten</t>
  </si>
  <si>
    <t>Inventaris- en kantoorkosten</t>
  </si>
  <si>
    <t>Kosten (excl. BTW)</t>
  </si>
  <si>
    <t>Brutowinstmarge (%)</t>
  </si>
  <si>
    <t>Bruto winst</t>
  </si>
  <si>
    <t>Totaal Inkoopwaarde</t>
  </si>
  <si>
    <t>Inkoopkosten</t>
  </si>
  <si>
    <t>Totaal omzet</t>
  </si>
  <si>
    <t>Omzet (excl. BTW)</t>
  </si>
  <si>
    <t>Totaal Afschrijvingen</t>
  </si>
  <si>
    <t>Verzekeringen</t>
  </si>
  <si>
    <t>Totaal Verkoopkosten</t>
  </si>
  <si>
    <t>Reclame- en promotiekosten</t>
  </si>
  <si>
    <t>Totaal Huisvestingskosten</t>
  </si>
  <si>
    <t>Totaal Inventaris- en kantoorkosten</t>
  </si>
  <si>
    <t>Administratiekosten</t>
  </si>
  <si>
    <t>Telefoon en Internet</t>
  </si>
  <si>
    <t>Kantoorbenodigdheden</t>
  </si>
  <si>
    <t xml:space="preserve">Exploitatiebegroting </t>
  </si>
  <si>
    <t>Rente %</t>
  </si>
  <si>
    <t>Aflossing per kwartaal</t>
  </si>
  <si>
    <t>Totale financiering</t>
  </si>
  <si>
    <t>Financiering:</t>
  </si>
  <si>
    <t>Te betalen BTW</t>
  </si>
  <si>
    <t>Te vorderen BTW</t>
  </si>
  <si>
    <t>Af te dragen BTW</t>
  </si>
  <si>
    <t>Eind Liquiditeit</t>
  </si>
  <si>
    <t>Verandering</t>
  </si>
  <si>
    <t>Begin Liquiditeit</t>
  </si>
  <si>
    <t xml:space="preserve">Totale uitgaven </t>
  </si>
  <si>
    <t xml:space="preserve">Te betalen/te vorderen BTW </t>
  </si>
  <si>
    <t>Belastingen</t>
  </si>
  <si>
    <t>Rentekosten kort vreemd vermogen</t>
  </si>
  <si>
    <t>Rentekosten lang vreemd vermogen</t>
  </si>
  <si>
    <t>Aflossingen lang vreemd vermogen</t>
  </si>
  <si>
    <t>Rente en aflossing</t>
  </si>
  <si>
    <t>Privéonttrekkingen</t>
  </si>
  <si>
    <t>Kosten</t>
  </si>
  <si>
    <t>Investeringen</t>
  </si>
  <si>
    <t>Totale ontvangsten</t>
  </si>
  <si>
    <t>Lang vreemd vermogen</t>
  </si>
  <si>
    <t>Liquiditeitsbegroting jaar 1</t>
  </si>
  <si>
    <t>Liquiditeitsbegroting jaar 2</t>
  </si>
  <si>
    <t>Liquiditeitsbegroting jaar 3</t>
  </si>
  <si>
    <t>Afschrijvingstermijn (in jaren)</t>
  </si>
  <si>
    <t>Zvw</t>
  </si>
  <si>
    <t xml:space="preserve">Omzet </t>
  </si>
  <si>
    <t>IB/PH</t>
  </si>
  <si>
    <t>Leningbedrag</t>
  </si>
  <si>
    <t>Aantal jaar</t>
  </si>
  <si>
    <t>Aantal kwartalen</t>
  </si>
  <si>
    <t>TOTAAL</t>
  </si>
  <si>
    <t>Maand</t>
  </si>
  <si>
    <t>Omzet</t>
  </si>
  <si>
    <t>Waarborgsom huur</t>
  </si>
  <si>
    <t>Bedrijfsresultaat na belasting</t>
  </si>
  <si>
    <t>Ontvangsten (incl. BTW)</t>
  </si>
  <si>
    <t>Uitgaven (incl. BTW)</t>
  </si>
  <si>
    <t>Bankkosten</t>
  </si>
  <si>
    <t>Langlopende lening (5 jaar | 7%)</t>
  </si>
  <si>
    <t>Rekening-courantkrediet (8%)</t>
  </si>
  <si>
    <t>Rente</t>
  </si>
  <si>
    <t>Af te dragen zvw (5,7%)</t>
  </si>
  <si>
    <t>Samenvatting Exploitatie</t>
  </si>
  <si>
    <t>Verbouwing</t>
  </si>
  <si>
    <t>Inrichting</t>
  </si>
  <si>
    <t>Overige inventaris</t>
  </si>
  <si>
    <t>Website</t>
  </si>
  <si>
    <t>Gemiddeld aantal personen per groep</t>
  </si>
  <si>
    <t>Gemiddelde besteding per persoon per les</t>
  </si>
  <si>
    <t>Gemiddelde opbrengst per groep (incl. BTW)</t>
  </si>
  <si>
    <t>Aantal groepen</t>
  </si>
  <si>
    <t xml:space="preserve">Jaar 1 </t>
  </si>
  <si>
    <t xml:space="preserve">Huur pand </t>
  </si>
  <si>
    <t>Gas, water, elektra</t>
  </si>
  <si>
    <t>Onderhoud en schoonmaak</t>
  </si>
  <si>
    <t>Kosten website onderhoud, hosting e.d.</t>
  </si>
  <si>
    <t>Werk derden (ZZP)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</si>
</sst>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"/>
    <numFmt numFmtId="165" formatCode="_-&quot;fl&quot;\ * #,##0.00_-;_-&quot;fl&quot;\ * #,##0.00\-;_-&quot;fl&quot;\ * &quot;-&quot;??_-;_-@_-"/>
    <numFmt numFmtId="166" formatCode="_-[$€-2]\ * #,##0_-;_-[$€-2]\ * #,##0\-;_-[$€-2]\ * &quot;-&quot;??_-;_-@_-"/>
    <numFmt numFmtId="167" formatCode="_-[$€-2]\ * #,##0.00_-;_-[$€-2]\ * #,##0.00\-;_-[$€-2]\ * &quot;-&quot;??_-;_-@_-"/>
    <numFmt numFmtId="168" formatCode="&quot;€&quot;\ #,##0_-"/>
    <numFmt numFmtId="169" formatCode="0.0%"/>
    <numFmt numFmtId="170" formatCode="&quot;€&quot;\ #,##0.00_-"/>
    <numFmt numFmtId="171" formatCode="[$€-2]\ #,##0.00_-"/>
    <numFmt numFmtId="172" formatCode="_ * #,##0_ ;_ * \-#,##0_ ;_ * &quot;-&quot;??_ ;_ @_ "/>
    <numFmt numFmtId="173" formatCode="_ [$€-2]\ * #,##0_ ;_ [$€-2]\ * \-#,##0_ ;_ [$€-2]\ * &quot;-&quot;??_ ;_ @_ "/>
    <numFmt numFmtId="174" formatCode="_ &quot;€&quot;\ * #,##0.0_ ;_ &quot;€&quot;\ * \-#,##0.0_ ;_ &quot;€&quot;\ * &quot;-&quot;??_ ;_ @_ "/>
    <numFmt numFmtId="175" formatCode="&quot;€&quot;\ #,##0.00000000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Cambria"/>
      <family val="1"/>
    </font>
    <font>
      <i/>
      <sz val="10"/>
      <name val="Cambria"/>
      <family val="1"/>
    </font>
    <font>
      <sz val="8"/>
      <name val="Cambria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2"/>
      <name val="Barlow"/>
    </font>
    <font>
      <sz val="11"/>
      <name val="Barlow"/>
    </font>
    <font>
      <sz val="11"/>
      <color theme="1"/>
      <name val="Barlow"/>
    </font>
    <font>
      <b/>
      <sz val="11"/>
      <name val="Barlow"/>
    </font>
    <font>
      <b/>
      <i/>
      <sz val="11"/>
      <name val="Barlow"/>
    </font>
    <font>
      <i/>
      <sz val="11"/>
      <name val="Barlow"/>
    </font>
    <font>
      <b/>
      <sz val="11"/>
      <color theme="0"/>
      <name val="Barlow"/>
    </font>
    <font>
      <sz val="11"/>
      <color rgb="FFFF0000"/>
      <name val="Barlow"/>
    </font>
    <font>
      <b/>
      <sz val="11"/>
      <color indexed="8"/>
      <name val="Barlow"/>
    </font>
    <font>
      <sz val="11"/>
      <color indexed="8"/>
      <name val="Barlow"/>
    </font>
    <font>
      <b/>
      <sz val="11"/>
      <color theme="1"/>
      <name val="Barlow"/>
    </font>
    <font>
      <sz val="11"/>
      <color rgb="FF00B050"/>
      <name val="Barlow"/>
    </font>
    <font>
      <i/>
      <sz val="11"/>
      <color rgb="FFFF0000"/>
      <name val="Barlow"/>
    </font>
    <font>
      <i/>
      <sz val="11"/>
      <color theme="1"/>
      <name val="Barlow"/>
    </font>
    <font>
      <b/>
      <sz val="11"/>
      <color rgb="FF00B050"/>
      <name val="Barlow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DF7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A5D9FF"/>
      </bottom>
      <diagonal/>
    </border>
    <border>
      <left style="thin">
        <color indexed="64"/>
      </left>
      <right/>
      <top/>
      <bottom style="thin">
        <color rgb="FFA5D9FF"/>
      </bottom>
      <diagonal/>
    </border>
    <border>
      <left/>
      <right style="thin">
        <color indexed="64"/>
      </right>
      <top/>
      <bottom style="thin">
        <color rgb="FFA5D9FF"/>
      </bottom>
      <diagonal/>
    </border>
    <border>
      <left style="thin">
        <color indexed="64"/>
      </left>
      <right/>
      <top style="thin">
        <color indexed="64"/>
      </top>
      <bottom style="thin">
        <color rgb="FFA5D9FF"/>
      </bottom>
      <diagonal/>
    </border>
    <border>
      <left/>
      <right style="thin">
        <color indexed="64"/>
      </right>
      <top style="thin">
        <color indexed="64"/>
      </top>
      <bottom style="thin">
        <color rgb="FFA5D9FF"/>
      </bottom>
      <diagonal/>
    </border>
    <border>
      <left/>
      <right/>
      <top style="thin">
        <color indexed="64"/>
      </top>
      <bottom style="thin">
        <color rgb="FFA5D9FF"/>
      </bottom>
      <diagonal/>
    </border>
    <border>
      <left/>
      <right/>
      <top style="thin">
        <color rgb="FFA5D9FF"/>
      </top>
      <bottom style="thin">
        <color indexed="64"/>
      </bottom>
      <diagonal/>
    </border>
    <border>
      <left/>
      <right style="thin">
        <color indexed="64"/>
      </right>
      <top style="thin">
        <color rgb="FFA5D9FF"/>
      </top>
      <bottom style="thin">
        <color indexed="64"/>
      </bottom>
      <diagonal/>
    </border>
    <border>
      <left style="thin">
        <color auto="1"/>
      </left>
      <right/>
      <top style="thin">
        <color rgb="FFA5D9FF"/>
      </top>
      <bottom style="thin">
        <color indexed="64"/>
      </bottom>
      <diagonal/>
    </border>
    <border>
      <left/>
      <right style="thin">
        <color auto="1"/>
      </right>
      <top style="thin">
        <color rgb="FFA5D9FF"/>
      </top>
      <bottom/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1"/>
    <xf numFmtId="165" fontId="0" fillId="0" borderId="0" xfId="2" applyFont="1"/>
    <xf numFmtId="0" fontId="4" fillId="0" borderId="0" xfId="1" applyFont="1"/>
    <xf numFmtId="0" fontId="4" fillId="0" borderId="9" xfId="1" applyFont="1" applyBorder="1"/>
    <xf numFmtId="166" fontId="4" fillId="0" borderId="0" xfId="2" applyNumberFormat="1" applyFont="1" applyBorder="1"/>
    <xf numFmtId="166" fontId="4" fillId="0" borderId="0" xfId="1" applyNumberFormat="1" applyFont="1"/>
    <xf numFmtId="0" fontId="4" fillId="0" borderId="10" xfId="1" applyFont="1" applyBorder="1"/>
    <xf numFmtId="0" fontId="5" fillId="0" borderId="0" xfId="1" applyFont="1"/>
    <xf numFmtId="0" fontId="6" fillId="0" borderId="0" xfId="1" applyFont="1"/>
    <xf numFmtId="167" fontId="0" fillId="0" borderId="0" xfId="2" applyNumberFormat="1" applyFont="1" applyBorder="1"/>
    <xf numFmtId="167" fontId="0" fillId="0" borderId="0" xfId="2" applyNumberFormat="1" applyFont="1"/>
    <xf numFmtId="0" fontId="7" fillId="0" borderId="0" xfId="1" applyFont="1"/>
    <xf numFmtId="167" fontId="7" fillId="0" borderId="0" xfId="2" applyNumberFormat="1" applyFont="1" applyBorder="1"/>
    <xf numFmtId="167" fontId="0" fillId="0" borderId="0" xfId="2" applyNumberFormat="1" applyFont="1" applyFill="1" applyBorder="1"/>
    <xf numFmtId="0" fontId="8" fillId="0" borderId="0" xfId="1" applyFont="1"/>
    <xf numFmtId="165" fontId="8" fillId="0" borderId="0" xfId="2" applyFont="1"/>
    <xf numFmtId="165" fontId="4" fillId="0" borderId="0" xfId="2" applyFont="1"/>
    <xf numFmtId="9" fontId="5" fillId="0" borderId="0" xfId="3" applyFont="1"/>
    <xf numFmtId="0" fontId="9" fillId="0" borderId="0" xfId="1" applyFont="1"/>
    <xf numFmtId="168" fontId="4" fillId="0" borderId="10" xfId="1" applyNumberFormat="1" applyFont="1" applyBorder="1"/>
    <xf numFmtId="165" fontId="1" fillId="0" borderId="0" xfId="2"/>
    <xf numFmtId="171" fontId="1" fillId="0" borderId="0" xfId="1" applyNumberFormat="1"/>
    <xf numFmtId="170" fontId="10" fillId="0" borderId="0" xfId="2" applyNumberFormat="1" applyFont="1" applyFill="1" applyBorder="1"/>
    <xf numFmtId="171" fontId="1" fillId="0" borderId="0" xfId="2" applyNumberFormat="1" applyFont="1"/>
    <xf numFmtId="172" fontId="11" fillId="0" borderId="0" xfId="1" applyNumberFormat="1" applyFont="1"/>
    <xf numFmtId="172" fontId="4" fillId="0" borderId="10" xfId="4" applyNumberFormat="1" applyFont="1" applyBorder="1"/>
    <xf numFmtId="172" fontId="4" fillId="0" borderId="0" xfId="4" applyNumberFormat="1" applyFont="1" applyBorder="1"/>
    <xf numFmtId="172" fontId="4" fillId="0" borderId="9" xfId="4" applyNumberFormat="1" applyFont="1" applyBorder="1"/>
    <xf numFmtId="172" fontId="4" fillId="0" borderId="10" xfId="4" applyNumberFormat="1" applyFont="1" applyFill="1" applyBorder="1"/>
    <xf numFmtId="172" fontId="4" fillId="0" borderId="0" xfId="4" applyNumberFormat="1" applyFont="1" applyFill="1" applyBorder="1"/>
    <xf numFmtId="9" fontId="1" fillId="0" borderId="0" xfId="1" applyNumberFormat="1"/>
    <xf numFmtId="0" fontId="13" fillId="0" borderId="0" xfId="1" applyFont="1"/>
    <xf numFmtId="0" fontId="14" fillId="0" borderId="0" xfId="1" applyFont="1"/>
    <xf numFmtId="0" fontId="3" fillId="0" borderId="0" xfId="1" applyFont="1"/>
    <xf numFmtId="0" fontId="15" fillId="0" borderId="0" xfId="1" applyFont="1"/>
    <xf numFmtId="170" fontId="13" fillId="0" borderId="0" xfId="1" applyNumberFormat="1" applyFont="1"/>
    <xf numFmtId="0" fontId="11" fillId="0" borderId="0" xfId="1" applyFont="1"/>
    <xf numFmtId="0" fontId="1" fillId="2" borderId="0" xfId="1" applyFill="1"/>
    <xf numFmtId="174" fontId="1" fillId="0" borderId="0" xfId="1" applyNumberFormat="1"/>
    <xf numFmtId="166" fontId="4" fillId="0" borderId="10" xfId="2" applyNumberFormat="1" applyFont="1" applyBorder="1"/>
    <xf numFmtId="175" fontId="13" fillId="0" borderId="0" xfId="1" applyNumberFormat="1" applyFont="1"/>
    <xf numFmtId="0" fontId="17" fillId="0" borderId="0" xfId="0" applyFont="1" applyAlignment="1">
      <alignment vertical="center"/>
    </xf>
    <xf numFmtId="0" fontId="2" fillId="2" borderId="0" xfId="1" applyFont="1" applyFill="1"/>
    <xf numFmtId="0" fontId="18" fillId="3" borderId="17" xfId="1" applyFont="1" applyFill="1" applyBorder="1"/>
    <xf numFmtId="0" fontId="19" fillId="3" borderId="17" xfId="1" applyFont="1" applyFill="1" applyBorder="1"/>
    <xf numFmtId="0" fontId="19" fillId="0" borderId="0" xfId="1" applyFont="1"/>
    <xf numFmtId="165" fontId="20" fillId="0" borderId="0" xfId="2" applyFont="1"/>
    <xf numFmtId="0" fontId="19" fillId="0" borderId="6" xfId="1" applyFont="1" applyBorder="1"/>
    <xf numFmtId="165" fontId="20" fillId="0" borderId="7" xfId="2" applyFont="1" applyBorder="1"/>
    <xf numFmtId="0" fontId="19" fillId="0" borderId="8" xfId="1" applyFont="1" applyBorder="1"/>
    <xf numFmtId="0" fontId="21" fillId="3" borderId="18" xfId="1" applyFont="1" applyFill="1" applyBorder="1"/>
    <xf numFmtId="0" fontId="19" fillId="3" borderId="19" xfId="1" applyFont="1" applyFill="1" applyBorder="1"/>
    <xf numFmtId="0" fontId="21" fillId="0" borderId="9" xfId="1" applyFont="1" applyBorder="1"/>
    <xf numFmtId="165" fontId="21" fillId="0" borderId="0" xfId="2" applyFont="1" applyBorder="1"/>
    <xf numFmtId="0" fontId="21" fillId="0" borderId="10" xfId="1" applyFont="1" applyBorder="1"/>
    <xf numFmtId="0" fontId="19" fillId="0" borderId="9" xfId="1" applyFont="1" applyBorder="1"/>
    <xf numFmtId="166" fontId="19" fillId="0" borderId="0" xfId="2" applyNumberFormat="1" applyFont="1" applyBorder="1"/>
    <xf numFmtId="0" fontId="19" fillId="0" borderId="10" xfId="1" applyFont="1" applyBorder="1"/>
    <xf numFmtId="166" fontId="21" fillId="0" borderId="0" xfId="2" applyNumberFormat="1" applyFont="1" applyBorder="1"/>
    <xf numFmtId="166" fontId="21" fillId="3" borderId="17" xfId="2" applyNumberFormat="1" applyFont="1" applyFill="1" applyBorder="1"/>
    <xf numFmtId="0" fontId="19" fillId="0" borderId="11" xfId="1" applyFont="1" applyBorder="1"/>
    <xf numFmtId="0" fontId="19" fillId="0" borderId="1" xfId="1" applyFont="1" applyBorder="1"/>
    <xf numFmtId="0" fontId="21" fillId="0" borderId="12" xfId="1" applyFont="1" applyBorder="1"/>
    <xf numFmtId="165" fontId="19" fillId="0" borderId="8" xfId="2" applyFont="1" applyBorder="1"/>
    <xf numFmtId="167" fontId="19" fillId="0" borderId="10" xfId="2" applyNumberFormat="1" applyFont="1" applyBorder="1"/>
    <xf numFmtId="166" fontId="19" fillId="0" borderId="10" xfId="2" applyNumberFormat="1" applyFont="1" applyBorder="1"/>
    <xf numFmtId="166" fontId="21" fillId="0" borderId="10" xfId="2" applyNumberFormat="1" applyFont="1" applyBorder="1"/>
    <xf numFmtId="0" fontId="21" fillId="3" borderId="20" xfId="1" applyFont="1" applyFill="1" applyBorder="1" applyAlignment="1">
      <alignment horizontal="center"/>
    </xf>
    <xf numFmtId="0" fontId="21" fillId="3" borderId="21" xfId="1" applyFont="1" applyFill="1" applyBorder="1" applyAlignment="1">
      <alignment horizontal="center"/>
    </xf>
    <xf numFmtId="173" fontId="21" fillId="2" borderId="11" xfId="1" applyNumberFormat="1" applyFont="1" applyFill="1" applyBorder="1" applyAlignment="1">
      <alignment horizontal="center"/>
    </xf>
    <xf numFmtId="9" fontId="21" fillId="2" borderId="12" xfId="5" applyFont="1" applyFill="1" applyBorder="1" applyAlignment="1">
      <alignment horizontal="center"/>
    </xf>
    <xf numFmtId="166" fontId="19" fillId="0" borderId="10" xfId="1" applyNumberFormat="1" applyFont="1" applyBorder="1"/>
    <xf numFmtId="0" fontId="21" fillId="3" borderId="22" xfId="1" applyFont="1" applyFill="1" applyBorder="1" applyAlignment="1">
      <alignment horizontal="center"/>
    </xf>
    <xf numFmtId="9" fontId="21" fillId="2" borderId="1" xfId="5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/>
    </xf>
    <xf numFmtId="0" fontId="21" fillId="0" borderId="12" xfId="1" applyFont="1" applyBorder="1" applyAlignment="1">
      <alignment horizontal="center"/>
    </xf>
    <xf numFmtId="166" fontId="21" fillId="3" borderId="19" xfId="2" applyNumberFormat="1" applyFont="1" applyFill="1" applyBorder="1"/>
    <xf numFmtId="167" fontId="4" fillId="0" borderId="24" xfId="2" applyNumberFormat="1" applyFont="1" applyBorder="1"/>
    <xf numFmtId="166" fontId="19" fillId="0" borderId="0" xfId="2" applyNumberFormat="1" applyFont="1"/>
    <xf numFmtId="166" fontId="19" fillId="0" borderId="1" xfId="2" applyNumberFormat="1" applyFont="1" applyBorder="1"/>
    <xf numFmtId="0" fontId="21" fillId="0" borderId="6" xfId="1" applyFont="1" applyBorder="1" applyAlignment="1">
      <alignment horizontal="center"/>
    </xf>
    <xf numFmtId="0" fontId="21" fillId="0" borderId="7" xfId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21" fillId="3" borderId="17" xfId="1" applyFont="1" applyFill="1" applyBorder="1"/>
    <xf numFmtId="170" fontId="19" fillId="0" borderId="10" xfId="1" applyNumberFormat="1" applyFont="1" applyBorder="1"/>
    <xf numFmtId="168" fontId="19" fillId="0" borderId="0" xfId="1" applyNumberFormat="1" applyFont="1"/>
    <xf numFmtId="168" fontId="19" fillId="0" borderId="10" xfId="1" applyNumberFormat="1" applyFont="1" applyBorder="1"/>
    <xf numFmtId="170" fontId="19" fillId="0" borderId="9" xfId="1" applyNumberFormat="1" applyFont="1" applyBorder="1"/>
    <xf numFmtId="170" fontId="4" fillId="0" borderId="9" xfId="1" applyNumberFormat="1" applyFont="1" applyBorder="1"/>
    <xf numFmtId="169" fontId="21" fillId="0" borderId="10" xfId="1" applyNumberFormat="1" applyFont="1" applyBorder="1"/>
    <xf numFmtId="0" fontId="19" fillId="0" borderId="7" xfId="1" applyFont="1" applyBorder="1"/>
    <xf numFmtId="0" fontId="21" fillId="0" borderId="8" xfId="1" applyFont="1" applyBorder="1" applyAlignment="1">
      <alignment horizontal="center"/>
    </xf>
    <xf numFmtId="0" fontId="21" fillId="0" borderId="11" xfId="1" applyFont="1" applyBorder="1"/>
    <xf numFmtId="168" fontId="21" fillId="0" borderId="1" xfId="1" applyNumberFormat="1" applyFont="1" applyBorder="1"/>
    <xf numFmtId="168" fontId="21" fillId="0" borderId="12" xfId="1" applyNumberFormat="1" applyFont="1" applyBorder="1"/>
    <xf numFmtId="168" fontId="21" fillId="0" borderId="10" xfId="1" applyNumberFormat="1" applyFont="1" applyBorder="1"/>
    <xf numFmtId="0" fontId="19" fillId="0" borderId="23" xfId="1" applyFont="1" applyBorder="1"/>
    <xf numFmtId="0" fontId="19" fillId="0" borderId="24" xfId="1" applyFont="1" applyBorder="1"/>
    <xf numFmtId="0" fontId="19" fillId="0" borderId="25" xfId="1" applyFont="1" applyBorder="1"/>
    <xf numFmtId="0" fontId="21" fillId="0" borderId="6" xfId="1" applyFont="1" applyBorder="1"/>
    <xf numFmtId="0" fontId="22" fillId="0" borderId="14" xfId="1" applyFont="1" applyBorder="1" applyAlignment="1">
      <alignment horizontal="right"/>
    </xf>
    <xf numFmtId="0" fontId="23" fillId="0" borderId="0" xfId="1" applyFont="1"/>
    <xf numFmtId="0" fontId="22" fillId="0" borderId="15" xfId="1" applyFont="1" applyBorder="1"/>
    <xf numFmtId="44" fontId="19" fillId="0" borderId="0" xfId="6" applyFont="1"/>
    <xf numFmtId="0" fontId="21" fillId="3" borderId="11" xfId="1" applyFont="1" applyFill="1" applyBorder="1"/>
    <xf numFmtId="166" fontId="21" fillId="3" borderId="1" xfId="2" applyNumberFormat="1" applyFont="1" applyFill="1" applyBorder="1"/>
    <xf numFmtId="166" fontId="21" fillId="3" borderId="16" xfId="2" applyNumberFormat="1" applyFont="1" applyFill="1" applyBorder="1"/>
    <xf numFmtId="172" fontId="19" fillId="0" borderId="9" xfId="4" applyNumberFormat="1" applyFont="1" applyBorder="1"/>
    <xf numFmtId="172" fontId="19" fillId="0" borderId="0" xfId="4" applyNumberFormat="1" applyFont="1"/>
    <xf numFmtId="172" fontId="19" fillId="0" borderId="1" xfId="4" applyNumberFormat="1" applyFont="1" applyBorder="1"/>
    <xf numFmtId="172" fontId="19" fillId="0" borderId="0" xfId="4" applyNumberFormat="1" applyFont="1" applyBorder="1"/>
    <xf numFmtId="172" fontId="19" fillId="0" borderId="10" xfId="4" applyNumberFormat="1" applyFont="1" applyBorder="1"/>
    <xf numFmtId="172" fontId="21" fillId="3" borderId="17" xfId="7" applyNumberFormat="1" applyFont="1" applyFill="1" applyBorder="1"/>
    <xf numFmtId="172" fontId="21" fillId="3" borderId="19" xfId="7" applyNumberFormat="1" applyFont="1" applyFill="1" applyBorder="1"/>
    <xf numFmtId="172" fontId="4" fillId="0" borderId="0" xfId="4" applyNumberFormat="1" applyFont="1"/>
    <xf numFmtId="172" fontId="24" fillId="0" borderId="9" xfId="4" applyNumberFormat="1" applyFont="1" applyFill="1" applyBorder="1"/>
    <xf numFmtId="172" fontId="24" fillId="0" borderId="0" xfId="4" applyNumberFormat="1" applyFont="1" applyFill="1" applyBorder="1"/>
    <xf numFmtId="172" fontId="24" fillId="0" borderId="10" xfId="4" applyNumberFormat="1" applyFont="1" applyFill="1" applyBorder="1"/>
    <xf numFmtId="172" fontId="21" fillId="0" borderId="9" xfId="4" applyNumberFormat="1" applyFont="1" applyFill="1" applyBorder="1"/>
    <xf numFmtId="172" fontId="19" fillId="0" borderId="0" xfId="4" applyNumberFormat="1" applyFont="1" applyFill="1" applyBorder="1"/>
    <xf numFmtId="172" fontId="19" fillId="0" borderId="10" xfId="4" applyNumberFormat="1" applyFont="1" applyFill="1" applyBorder="1"/>
    <xf numFmtId="172" fontId="19" fillId="0" borderId="9" xfId="4" applyNumberFormat="1" applyFont="1" applyFill="1" applyBorder="1"/>
    <xf numFmtId="172" fontId="21" fillId="0" borderId="0" xfId="4" applyNumberFormat="1" applyFont="1" applyFill="1" applyBorder="1"/>
    <xf numFmtId="172" fontId="21" fillId="0" borderId="10" xfId="4" applyNumberFormat="1" applyFont="1" applyFill="1" applyBorder="1"/>
    <xf numFmtId="172" fontId="21" fillId="0" borderId="9" xfId="4" applyNumberFormat="1" applyFont="1" applyBorder="1"/>
    <xf numFmtId="172" fontId="25" fillId="0" borderId="0" xfId="4" applyNumberFormat="1" applyFont="1" applyFill="1" applyBorder="1"/>
    <xf numFmtId="172" fontId="19" fillId="0" borderId="25" xfId="4" applyNumberFormat="1" applyFont="1" applyBorder="1"/>
    <xf numFmtId="172" fontId="19" fillId="0" borderId="23" xfId="4" applyNumberFormat="1" applyFont="1" applyBorder="1"/>
    <xf numFmtId="172" fontId="19" fillId="0" borderId="26" xfId="4" applyNumberFormat="1" applyFont="1" applyBorder="1"/>
    <xf numFmtId="172" fontId="19" fillId="0" borderId="3" xfId="4" applyNumberFormat="1" applyFont="1" applyBorder="1"/>
    <xf numFmtId="172" fontId="21" fillId="0" borderId="6" xfId="4" applyNumberFormat="1" applyFont="1" applyBorder="1"/>
    <xf numFmtId="172" fontId="19" fillId="0" borderId="7" xfId="4" applyNumberFormat="1" applyFont="1" applyBorder="1"/>
    <xf numFmtId="172" fontId="26" fillId="0" borderId="9" xfId="4" applyNumberFormat="1" applyFont="1" applyBorder="1"/>
    <xf numFmtId="172" fontId="27" fillId="0" borderId="0" xfId="4" applyNumberFormat="1" applyFont="1" applyBorder="1"/>
    <xf numFmtId="172" fontId="27" fillId="0" borderId="10" xfId="4" applyNumberFormat="1" applyFont="1" applyBorder="1"/>
    <xf numFmtId="172" fontId="26" fillId="3" borderId="11" xfId="4" applyNumberFormat="1" applyFont="1" applyFill="1" applyBorder="1"/>
    <xf numFmtId="172" fontId="21" fillId="3" borderId="1" xfId="7" applyNumberFormat="1" applyFont="1" applyFill="1" applyBorder="1"/>
    <xf numFmtId="172" fontId="21" fillId="3" borderId="12" xfId="7" applyNumberFormat="1" applyFont="1" applyFill="1" applyBorder="1"/>
    <xf numFmtId="172" fontId="19" fillId="0" borderId="8" xfId="4" applyNumberFormat="1" applyFont="1" applyBorder="1"/>
    <xf numFmtId="172" fontId="27" fillId="0" borderId="0" xfId="4" applyNumberFormat="1" applyFont="1"/>
    <xf numFmtId="170" fontId="19" fillId="0" borderId="0" xfId="2" applyNumberFormat="1" applyFont="1"/>
    <xf numFmtId="0" fontId="21" fillId="3" borderId="20" xfId="1" applyFont="1" applyFill="1" applyBorder="1"/>
    <xf numFmtId="0" fontId="21" fillId="3" borderId="21" xfId="1" applyFont="1" applyFill="1" applyBorder="1"/>
    <xf numFmtId="0" fontId="19" fillId="0" borderId="13" xfId="1" applyFont="1" applyBorder="1"/>
    <xf numFmtId="168" fontId="19" fillId="0" borderId="13" xfId="1" applyNumberFormat="1" applyFont="1" applyBorder="1"/>
    <xf numFmtId="0" fontId="19" fillId="0" borderId="2" xfId="1" applyFont="1" applyBorder="1"/>
    <xf numFmtId="9" fontId="19" fillId="0" borderId="13" xfId="2" applyNumberFormat="1" applyFont="1" applyBorder="1"/>
    <xf numFmtId="0" fontId="20" fillId="0" borderId="0" xfId="0" applyFont="1"/>
    <xf numFmtId="0" fontId="25" fillId="0" borderId="0" xfId="0" applyFont="1"/>
    <xf numFmtId="3" fontId="20" fillId="0" borderId="1" xfId="0" applyNumberFormat="1" applyFont="1" applyBorder="1"/>
    <xf numFmtId="0" fontId="32" fillId="0" borderId="2" xfId="0" applyFont="1" applyBorder="1"/>
    <xf numFmtId="0" fontId="32" fillId="0" borderId="4" xfId="0" applyFont="1" applyBorder="1"/>
    <xf numFmtId="3" fontId="32" fillId="0" borderId="3" xfId="0" applyNumberFormat="1" applyFont="1" applyBorder="1"/>
    <xf numFmtId="1" fontId="20" fillId="0" borderId="0" xfId="0" applyNumberFormat="1" applyFont="1"/>
    <xf numFmtId="1" fontId="32" fillId="0" borderId="0" xfId="0" applyNumberFormat="1" applyFont="1"/>
    <xf numFmtId="0" fontId="28" fillId="2" borderId="0" xfId="0" applyFont="1" applyFill="1" applyProtection="1">
      <protection hidden="1"/>
    </xf>
    <xf numFmtId="0" fontId="20" fillId="2" borderId="0" xfId="0" applyFont="1" applyFill="1" applyProtection="1">
      <protection hidden="1"/>
    </xf>
    <xf numFmtId="0" fontId="20" fillId="2" borderId="0" xfId="0" applyFont="1" applyFill="1"/>
    <xf numFmtId="10" fontId="20" fillId="2" borderId="0" xfId="0" applyNumberFormat="1" applyFont="1" applyFill="1" applyProtection="1">
      <protection hidden="1"/>
    </xf>
    <xf numFmtId="164" fontId="20" fillId="2" borderId="0" xfId="0" applyNumberFormat="1" applyFont="1" applyFill="1" applyProtection="1">
      <protection hidden="1"/>
    </xf>
    <xf numFmtId="164" fontId="20" fillId="2" borderId="1" xfId="0" applyNumberFormat="1" applyFont="1" applyFill="1" applyBorder="1" applyProtection="1">
      <protection hidden="1"/>
    </xf>
    <xf numFmtId="164" fontId="28" fillId="2" borderId="0" xfId="0" applyNumberFormat="1" applyFont="1" applyFill="1" applyProtection="1">
      <protection hidden="1"/>
    </xf>
    <xf numFmtId="164" fontId="28" fillId="2" borderId="5" xfId="0" applyNumberFormat="1" applyFont="1" applyFill="1" applyBorder="1" applyProtection="1">
      <protection hidden="1"/>
    </xf>
    <xf numFmtId="1" fontId="28" fillId="2" borderId="0" xfId="0" applyNumberFormat="1" applyFont="1" applyFill="1" applyProtection="1">
      <protection hidden="1"/>
    </xf>
    <xf numFmtId="3" fontId="20" fillId="2" borderId="0" xfId="0" applyNumberFormat="1" applyFont="1" applyFill="1"/>
    <xf numFmtId="0" fontId="20" fillId="2" borderId="1" xfId="0" applyFont="1" applyFill="1" applyBorder="1" applyProtection="1">
      <protection hidden="1"/>
    </xf>
    <xf numFmtId="0" fontId="28" fillId="2" borderId="5" xfId="0" applyFont="1" applyFill="1" applyBorder="1" applyProtection="1">
      <protection hidden="1"/>
    </xf>
    <xf numFmtId="3" fontId="28" fillId="2" borderId="0" xfId="0" applyNumberFormat="1" applyFont="1" applyFill="1" applyProtection="1">
      <protection hidden="1"/>
    </xf>
    <xf numFmtId="9" fontId="20" fillId="2" borderId="0" xfId="0" applyNumberFormat="1" applyFont="1" applyFill="1" applyProtection="1">
      <protection hidden="1"/>
    </xf>
    <xf numFmtId="0" fontId="28" fillId="2" borderId="0" xfId="0" applyFont="1" applyFill="1"/>
    <xf numFmtId="0" fontId="21" fillId="2" borderId="0" xfId="0" applyFont="1" applyFill="1" applyProtection="1">
      <protection hidden="1"/>
    </xf>
    <xf numFmtId="0" fontId="20" fillId="0" borderId="0" xfId="0" applyFont="1" applyProtection="1">
      <protection hidden="1"/>
    </xf>
    <xf numFmtId="0" fontId="4" fillId="0" borderId="25" xfId="1" applyFont="1" applyBorder="1"/>
    <xf numFmtId="167" fontId="19" fillId="0" borderId="12" xfId="2" applyNumberFormat="1" applyFont="1" applyBorder="1"/>
    <xf numFmtId="167" fontId="21" fillId="2" borderId="10" xfId="2" applyNumberFormat="1" applyFont="1" applyFill="1" applyBorder="1"/>
    <xf numFmtId="0" fontId="1" fillId="0" borderId="8" xfId="1" applyBorder="1"/>
    <xf numFmtId="0" fontId="21" fillId="2" borderId="10" xfId="1" applyFont="1" applyFill="1" applyBorder="1"/>
    <xf numFmtId="170" fontId="19" fillId="0" borderId="0" xfId="1" applyNumberFormat="1" applyFont="1"/>
    <xf numFmtId="168" fontId="4" fillId="0" borderId="0" xfId="1" applyNumberFormat="1" applyFont="1"/>
    <xf numFmtId="169" fontId="21" fillId="0" borderId="0" xfId="1" applyNumberFormat="1" applyFont="1"/>
    <xf numFmtId="168" fontId="21" fillId="0" borderId="0" xfId="1" applyNumberFormat="1" applyFont="1"/>
    <xf numFmtId="166" fontId="21" fillId="3" borderId="22" xfId="2" applyNumberFormat="1" applyFont="1" applyFill="1" applyBorder="1"/>
    <xf numFmtId="166" fontId="21" fillId="3" borderId="21" xfId="2" applyNumberFormat="1" applyFont="1" applyFill="1" applyBorder="1"/>
    <xf numFmtId="169" fontId="21" fillId="0" borderId="1" xfId="1" applyNumberFormat="1" applyFont="1" applyBorder="1"/>
    <xf numFmtId="169" fontId="21" fillId="0" borderId="12" xfId="1" applyNumberFormat="1" applyFont="1" applyBorder="1"/>
    <xf numFmtId="0" fontId="21" fillId="0" borderId="0" xfId="1" applyFont="1" applyAlignment="1">
      <alignment horizontal="center"/>
    </xf>
    <xf numFmtId="172" fontId="19" fillId="0" borderId="24" xfId="4" applyNumberFormat="1" applyFont="1" applyBorder="1"/>
    <xf numFmtId="0" fontId="20" fillId="0" borderId="6" xfId="0" applyFont="1" applyBorder="1"/>
    <xf numFmtId="0" fontId="28" fillId="0" borderId="7" xfId="0" applyFont="1" applyBorder="1"/>
    <xf numFmtId="0" fontId="28" fillId="0" borderId="8" xfId="0" applyFont="1" applyBorder="1"/>
    <xf numFmtId="0" fontId="20" fillId="0" borderId="9" xfId="0" applyFont="1" applyBorder="1"/>
    <xf numFmtId="3" fontId="20" fillId="2" borderId="0" xfId="0" applyNumberFormat="1" applyFont="1" applyFill="1" applyProtection="1">
      <protection locked="0"/>
    </xf>
    <xf numFmtId="0" fontId="29" fillId="0" borderId="0" xfId="0" applyFont="1"/>
    <xf numFmtId="3" fontId="20" fillId="2" borderId="10" xfId="0" applyNumberFormat="1" applyFont="1" applyFill="1" applyBorder="1" applyProtection="1">
      <protection locked="0"/>
    </xf>
    <xf numFmtId="3" fontId="20" fillId="0" borderId="0" xfId="0" applyNumberFormat="1" applyFont="1"/>
    <xf numFmtId="3" fontId="20" fillId="0" borderId="10" xfId="0" applyNumberFormat="1" applyFont="1" applyBorder="1"/>
    <xf numFmtId="0" fontId="19" fillId="0" borderId="9" xfId="0" applyFont="1" applyBorder="1"/>
    <xf numFmtId="0" fontId="30" fillId="0" borderId="0" xfId="0" applyFont="1"/>
    <xf numFmtId="0" fontId="30" fillId="0" borderId="9" xfId="0" applyFont="1" applyBorder="1"/>
    <xf numFmtId="0" fontId="20" fillId="2" borderId="0" xfId="0" applyFont="1" applyFill="1" applyProtection="1">
      <protection locked="0"/>
    </xf>
    <xf numFmtId="3" fontId="20" fillId="0" borderId="12" xfId="0" applyNumberFormat="1" applyFont="1" applyBorder="1"/>
    <xf numFmtId="0" fontId="31" fillId="0" borderId="9" xfId="0" applyFont="1" applyBorder="1"/>
    <xf numFmtId="0" fontId="31" fillId="0" borderId="0" xfId="0" applyFont="1"/>
    <xf numFmtId="3" fontId="31" fillId="0" borderId="0" xfId="0" applyNumberFormat="1" applyFont="1"/>
    <xf numFmtId="3" fontId="31" fillId="0" borderId="10" xfId="0" applyNumberFormat="1" applyFont="1" applyBorder="1"/>
    <xf numFmtId="0" fontId="28" fillId="0" borderId="9" xfId="0" applyFont="1" applyBorder="1"/>
    <xf numFmtId="0" fontId="28" fillId="0" borderId="0" xfId="0" applyFont="1"/>
    <xf numFmtId="3" fontId="28" fillId="0" borderId="0" xfId="0" applyNumberFormat="1" applyFont="1"/>
    <xf numFmtId="3" fontId="28" fillId="0" borderId="10" xfId="0" applyNumberFormat="1" applyFont="1" applyBorder="1"/>
    <xf numFmtId="0" fontId="20" fillId="0" borderId="4" xfId="0" applyFont="1" applyBorder="1"/>
    <xf numFmtId="3" fontId="32" fillId="0" borderId="4" xfId="0" applyNumberFormat="1" applyFont="1" applyBorder="1"/>
  </cellXfs>
  <cellStyles count="8">
    <cellStyle name="Komma" xfId="7" builtinId="3"/>
    <cellStyle name="Komma 2" xfId="4" xr:uid="{00000000-0005-0000-0000-000000000000}"/>
    <cellStyle name="Normaal 2" xfId="1" xr:uid="{00000000-0005-0000-0000-000001000000}"/>
    <cellStyle name="Procent" xfId="5" builtinId="5"/>
    <cellStyle name="Procent 2" xfId="3" xr:uid="{00000000-0005-0000-0000-000003000000}"/>
    <cellStyle name="Standaard" xfId="0" builtinId="0"/>
    <cellStyle name="Valuta" xfId="6" builtinId="4"/>
    <cellStyle name="Valuta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OME\exceldat\BINNEN\Voortgangscontrole\2013\Voortgangsstatus%20per%20klant%20Binnenwaard%20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ning"/>
      <sheetName val="Menukeuze's"/>
    </sheetNames>
    <sheetDataSet>
      <sheetData sheetId="0"/>
      <sheetData sheetId="1">
        <row r="8">
          <cell r="A8" t="str">
            <v>Gereed</v>
          </cell>
        </row>
        <row r="9">
          <cell r="A9" t="str">
            <v>Bij cliënt</v>
          </cell>
        </row>
        <row r="10">
          <cell r="A10" t="str">
            <v>Onderhanden</v>
          </cell>
        </row>
        <row r="11">
          <cell r="A11" t="str">
            <v>Niet gereed</v>
          </cell>
        </row>
        <row r="12">
          <cell r="A12" t="str">
            <v>N.v.t.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zoomScale="110" zoomScaleNormal="110" zoomScalePageLayoutView="90" workbookViewId="0">
      <selection activeCell="A3" sqref="A3:C26"/>
    </sheetView>
  </sheetViews>
  <sheetFormatPr defaultColWidth="10.140625" defaultRowHeight="12.75" x14ac:dyDescent="0.2"/>
  <cols>
    <col min="1" max="1" width="33.5703125" style="1" customWidth="1"/>
    <col min="2" max="2" width="24.42578125" style="1" customWidth="1"/>
    <col min="3" max="3" width="30.42578125" style="1" customWidth="1"/>
    <col min="4" max="4" width="8" style="1" customWidth="1"/>
    <col min="5" max="16384" width="10.140625" style="1"/>
  </cols>
  <sheetData>
    <row r="1" spans="1:9" ht="36.75" customHeight="1" x14ac:dyDescent="0.55000000000000004">
      <c r="A1" s="44" t="s">
        <v>50</v>
      </c>
      <c r="B1" s="45"/>
      <c r="C1" s="45"/>
    </row>
    <row r="2" spans="1:9" ht="21" customHeight="1" x14ac:dyDescent="0.35">
      <c r="A2" s="46"/>
      <c r="B2" s="47"/>
      <c r="C2" s="46"/>
    </row>
    <row r="3" spans="1:9" ht="15.75" customHeight="1" x14ac:dyDescent="0.35">
      <c r="A3" s="48"/>
      <c r="B3" s="49"/>
      <c r="C3" s="50"/>
      <c r="E3" s="3"/>
      <c r="F3" s="3"/>
      <c r="G3" s="3"/>
      <c r="H3" s="3"/>
      <c r="I3" s="3"/>
    </row>
    <row r="4" spans="1:9" ht="15.75" customHeight="1" x14ac:dyDescent="0.35">
      <c r="A4" s="51" t="s">
        <v>51</v>
      </c>
      <c r="B4" s="45"/>
      <c r="C4" s="52"/>
      <c r="E4" s="3"/>
      <c r="F4" s="3"/>
      <c r="G4" s="3"/>
      <c r="H4" s="3"/>
      <c r="I4" s="3"/>
    </row>
    <row r="5" spans="1:9" ht="15.75" customHeight="1" x14ac:dyDescent="0.35">
      <c r="A5" s="53"/>
      <c r="B5" s="54"/>
      <c r="C5" s="55"/>
      <c r="E5" s="3"/>
      <c r="F5" s="3"/>
      <c r="G5" s="3"/>
      <c r="H5" s="3"/>
      <c r="I5" s="3"/>
    </row>
    <row r="6" spans="1:9" ht="15.75" customHeight="1" x14ac:dyDescent="0.35">
      <c r="A6" s="56"/>
      <c r="B6" s="54" t="s">
        <v>52</v>
      </c>
      <c r="C6" s="55" t="s">
        <v>122</v>
      </c>
      <c r="E6" s="3"/>
      <c r="F6" s="3"/>
      <c r="G6" s="3"/>
      <c r="H6" s="3"/>
      <c r="I6" s="3"/>
    </row>
    <row r="7" spans="1:9" ht="15.75" customHeight="1" x14ac:dyDescent="0.35">
      <c r="A7" s="56" t="s">
        <v>142</v>
      </c>
      <c r="B7" s="57">
        <v>25000</v>
      </c>
      <c r="C7" s="58">
        <v>5</v>
      </c>
      <c r="E7" s="3"/>
      <c r="F7" s="3"/>
      <c r="G7" s="3"/>
      <c r="H7" s="3"/>
      <c r="I7" s="3"/>
    </row>
    <row r="8" spans="1:9" ht="15.75" customHeight="1" x14ac:dyDescent="0.35">
      <c r="A8" s="56" t="s">
        <v>143</v>
      </c>
      <c r="B8" s="57">
        <v>20000</v>
      </c>
      <c r="C8" s="58">
        <v>5</v>
      </c>
      <c r="E8" s="3"/>
      <c r="F8" s="3"/>
      <c r="G8" s="3"/>
      <c r="H8" s="3"/>
      <c r="I8" s="3"/>
    </row>
    <row r="9" spans="1:9" ht="15.75" customHeight="1" x14ac:dyDescent="0.35">
      <c r="A9" s="56" t="s">
        <v>144</v>
      </c>
      <c r="B9" s="57">
        <v>5000</v>
      </c>
      <c r="C9" s="58">
        <v>5</v>
      </c>
      <c r="E9" s="3"/>
      <c r="F9" s="3"/>
      <c r="G9" s="3"/>
      <c r="H9" s="3"/>
      <c r="I9" s="3"/>
    </row>
    <row r="10" spans="1:9" ht="15.75" customHeight="1" x14ac:dyDescent="0.35">
      <c r="A10" s="56" t="s">
        <v>145</v>
      </c>
      <c r="B10" s="57">
        <v>3000</v>
      </c>
      <c r="C10" s="58">
        <v>5</v>
      </c>
      <c r="E10" s="3"/>
      <c r="F10" s="3"/>
      <c r="G10" s="3"/>
      <c r="H10" s="3"/>
      <c r="I10" s="3"/>
    </row>
    <row r="11" spans="1:9" ht="15.75" customHeight="1" x14ac:dyDescent="0.35">
      <c r="A11" s="56" t="s">
        <v>53</v>
      </c>
      <c r="B11" s="57">
        <v>1000</v>
      </c>
      <c r="C11" s="58">
        <v>5</v>
      </c>
      <c r="E11" s="3"/>
      <c r="F11" s="3"/>
      <c r="G11" s="3"/>
      <c r="H11" s="3"/>
      <c r="I11" s="3"/>
    </row>
    <row r="12" spans="1:9" ht="15.75" customHeight="1" x14ac:dyDescent="0.25">
      <c r="A12" s="4"/>
      <c r="B12" s="6"/>
      <c r="C12" s="7"/>
      <c r="E12" s="3"/>
      <c r="F12" s="3"/>
      <c r="G12" s="3"/>
      <c r="H12" s="3"/>
      <c r="I12" s="3"/>
    </row>
    <row r="13" spans="1:9" ht="15.75" customHeight="1" x14ac:dyDescent="0.35">
      <c r="A13" s="53" t="s">
        <v>54</v>
      </c>
      <c r="B13" s="59">
        <f>SUM(B7:B11)</f>
        <v>54000</v>
      </c>
      <c r="C13" s="58"/>
      <c r="E13" s="3"/>
      <c r="F13" s="3"/>
      <c r="G13" s="3"/>
      <c r="H13" s="3"/>
      <c r="I13" s="3"/>
    </row>
    <row r="14" spans="1:9" ht="15.75" customHeight="1" x14ac:dyDescent="0.35">
      <c r="A14" s="56"/>
      <c r="B14" s="59"/>
      <c r="C14" s="58"/>
      <c r="E14" s="3"/>
      <c r="F14" s="3"/>
      <c r="G14" s="3"/>
      <c r="H14" s="3"/>
      <c r="I14" s="3"/>
    </row>
    <row r="15" spans="1:9" ht="15.75" customHeight="1" x14ac:dyDescent="0.35">
      <c r="A15" s="51" t="s">
        <v>55</v>
      </c>
      <c r="B15" s="45"/>
      <c r="C15" s="52"/>
      <c r="E15" s="3"/>
      <c r="F15" s="3"/>
      <c r="G15" s="3"/>
      <c r="H15" s="3"/>
      <c r="I15" s="3"/>
    </row>
    <row r="16" spans="1:9" ht="15.75" customHeight="1" x14ac:dyDescent="0.35">
      <c r="A16" s="53"/>
      <c r="B16" s="59"/>
      <c r="C16" s="58"/>
      <c r="E16" s="3"/>
      <c r="F16" s="3"/>
      <c r="G16" s="3"/>
      <c r="H16" s="3"/>
      <c r="I16" s="3"/>
    </row>
    <row r="17" spans="1:9" ht="15.75" customHeight="1" x14ac:dyDescent="0.35">
      <c r="A17" s="56"/>
      <c r="B17" s="59" t="s">
        <v>52</v>
      </c>
      <c r="C17" s="58"/>
      <c r="E17" s="3"/>
      <c r="F17" s="3"/>
      <c r="G17" s="3"/>
      <c r="H17" s="3"/>
      <c r="I17" s="3"/>
    </row>
    <row r="18" spans="1:9" ht="15.75" customHeight="1" x14ac:dyDescent="0.35">
      <c r="A18" s="56" t="s">
        <v>57</v>
      </c>
      <c r="B18" s="57">
        <f>0.21*(B13+B19+B20)</f>
        <v>13440</v>
      </c>
      <c r="C18" s="58"/>
      <c r="E18" s="3"/>
      <c r="F18" s="3"/>
      <c r="G18" s="3"/>
      <c r="H18" s="3"/>
      <c r="I18" s="3"/>
    </row>
    <row r="19" spans="1:9" ht="15.75" customHeight="1" x14ac:dyDescent="0.35">
      <c r="A19" s="56" t="s">
        <v>132</v>
      </c>
      <c r="B19" s="57">
        <f>3*2500</f>
        <v>7500</v>
      </c>
      <c r="C19" s="58"/>
      <c r="E19" s="3"/>
      <c r="F19" s="3"/>
      <c r="G19" s="3"/>
      <c r="H19" s="3"/>
      <c r="I19" s="3"/>
    </row>
    <row r="20" spans="1:9" ht="15.75" customHeight="1" x14ac:dyDescent="0.35">
      <c r="A20" s="56" t="s">
        <v>56</v>
      </c>
      <c r="B20" s="57">
        <v>2500</v>
      </c>
      <c r="C20" s="58"/>
      <c r="E20" s="3"/>
      <c r="F20" s="3"/>
      <c r="G20" s="3"/>
      <c r="H20" s="3"/>
      <c r="I20" s="3"/>
    </row>
    <row r="21" spans="1:9" ht="15.75" customHeight="1" x14ac:dyDescent="0.35">
      <c r="A21" s="56" t="s">
        <v>58</v>
      </c>
      <c r="B21" s="57">
        <v>10060</v>
      </c>
      <c r="C21" s="7"/>
      <c r="E21" s="3"/>
      <c r="F21" s="3"/>
      <c r="G21" s="3"/>
      <c r="H21" s="3"/>
      <c r="I21" s="3"/>
    </row>
    <row r="22" spans="1:9" ht="15.75" customHeight="1" x14ac:dyDescent="0.25">
      <c r="A22" s="4"/>
      <c r="B22" s="5"/>
      <c r="C22" s="7"/>
      <c r="E22" s="3"/>
      <c r="F22" s="3"/>
      <c r="G22" s="3"/>
      <c r="H22" s="3"/>
      <c r="I22" s="3"/>
    </row>
    <row r="23" spans="1:9" ht="15.75" customHeight="1" x14ac:dyDescent="0.35">
      <c r="A23" s="53" t="s">
        <v>59</v>
      </c>
      <c r="B23" s="59">
        <f>SUM(B18:B22)</f>
        <v>33500</v>
      </c>
      <c r="C23" s="58"/>
      <c r="E23" s="3"/>
      <c r="F23" s="3"/>
      <c r="G23" s="3"/>
      <c r="H23" s="3"/>
      <c r="I23" s="3"/>
    </row>
    <row r="24" spans="1:9" ht="15.75" customHeight="1" x14ac:dyDescent="0.35">
      <c r="A24" s="56"/>
      <c r="B24" s="57"/>
      <c r="C24" s="55"/>
      <c r="E24" s="3"/>
      <c r="F24" s="3"/>
      <c r="G24" s="3"/>
      <c r="H24" s="3"/>
      <c r="I24" s="3"/>
    </row>
    <row r="25" spans="1:9" ht="15.75" customHeight="1" x14ac:dyDescent="0.35">
      <c r="A25" s="51" t="s">
        <v>60</v>
      </c>
      <c r="B25" s="60">
        <f>B13+B23</f>
        <v>87500</v>
      </c>
      <c r="C25" s="52"/>
      <c r="E25" s="3"/>
      <c r="F25" s="3"/>
      <c r="G25" s="3"/>
      <c r="H25" s="3"/>
      <c r="I25" s="3"/>
    </row>
    <row r="26" spans="1:9" ht="15.75" customHeight="1" x14ac:dyDescent="0.35">
      <c r="A26" s="61"/>
      <c r="B26" s="62"/>
      <c r="C26" s="63"/>
      <c r="E26" s="3"/>
      <c r="F26" s="3"/>
      <c r="G26" s="3"/>
      <c r="H26" s="3"/>
      <c r="I26" s="3"/>
    </row>
    <row r="27" spans="1:9" ht="15" x14ac:dyDescent="0.25">
      <c r="E27" s="3"/>
      <c r="F27" s="3"/>
      <c r="G27" s="3"/>
      <c r="H27" s="3"/>
      <c r="I27" s="3"/>
    </row>
    <row r="28" spans="1:9" ht="15" x14ac:dyDescent="0.25">
      <c r="C28" s="9"/>
      <c r="E28" s="3"/>
      <c r="F28" s="3"/>
      <c r="G28" s="3"/>
      <c r="H28" s="3"/>
      <c r="I28" s="3"/>
    </row>
    <row r="29" spans="1:9" ht="15" x14ac:dyDescent="0.25">
      <c r="C29" s="9"/>
      <c r="E29" s="3"/>
      <c r="F29" s="3"/>
      <c r="G29" s="3"/>
      <c r="H29" s="3"/>
      <c r="I29" s="3"/>
    </row>
    <row r="39" spans="1:3" ht="15" x14ac:dyDescent="0.25">
      <c r="B39" s="10"/>
    </row>
    <row r="40" spans="1:3" ht="15" x14ac:dyDescent="0.25">
      <c r="B40" s="11"/>
    </row>
    <row r="41" spans="1:3" ht="15" hidden="1" x14ac:dyDescent="0.25">
      <c r="B41" s="11">
        <f>SUM(B18:B38)</f>
        <v>154500</v>
      </c>
    </row>
    <row r="42" spans="1:3" ht="15" x14ac:dyDescent="0.25">
      <c r="C42" s="12"/>
    </row>
    <row r="43" spans="1:3" ht="15" x14ac:dyDescent="0.25">
      <c r="A43" s="12"/>
      <c r="B43" s="13"/>
      <c r="C43" s="12"/>
    </row>
    <row r="44" spans="1:3" ht="15" x14ac:dyDescent="0.25">
      <c r="A44" s="12"/>
      <c r="B44" s="13"/>
      <c r="C44" s="12"/>
    </row>
    <row r="45" spans="1:3" ht="15" x14ac:dyDescent="0.25">
      <c r="B45" s="11"/>
    </row>
    <row r="46" spans="1:3" ht="15" x14ac:dyDescent="0.25">
      <c r="A46" s="9"/>
      <c r="B46" s="14"/>
    </row>
    <row r="47" spans="1:3" ht="15" x14ac:dyDescent="0.25">
      <c r="A47" s="9"/>
      <c r="B47" s="10"/>
    </row>
    <row r="48" spans="1:3" ht="15" x14ac:dyDescent="0.25">
      <c r="A48" s="9"/>
      <c r="B48" s="10"/>
    </row>
    <row r="49" spans="2:3" ht="12" customHeight="1" x14ac:dyDescent="0.25">
      <c r="B49" s="11"/>
    </row>
    <row r="50" spans="2:3" ht="14.25" hidden="1" customHeight="1" x14ac:dyDescent="0.25">
      <c r="B50" s="11" t="e">
        <f>#REF!+B41+B46</f>
        <v>#REF!</v>
      </c>
    </row>
    <row r="51" spans="2:3" ht="15" x14ac:dyDescent="0.25">
      <c r="C51" s="12"/>
    </row>
    <row r="52" spans="2:3" ht="15" x14ac:dyDescent="0.25">
      <c r="B52" s="2"/>
    </row>
    <row r="53" spans="2:3" ht="15" x14ac:dyDescent="0.25">
      <c r="B53" s="2"/>
    </row>
    <row r="54" spans="2:3" ht="15" x14ac:dyDescent="0.25">
      <c r="B54" s="2"/>
    </row>
    <row r="55" spans="2:3" ht="15" x14ac:dyDescent="0.25">
      <c r="B55" s="2"/>
    </row>
    <row r="56" spans="2:3" ht="15" x14ac:dyDescent="0.25">
      <c r="B56" s="2"/>
    </row>
    <row r="57" spans="2:3" ht="15" x14ac:dyDescent="0.25">
      <c r="B57" s="2"/>
    </row>
    <row r="58" spans="2:3" ht="15" x14ac:dyDescent="0.25">
      <c r="B58" s="2"/>
    </row>
    <row r="59" spans="2:3" ht="15" x14ac:dyDescent="0.25">
      <c r="B59" s="2"/>
    </row>
    <row r="60" spans="2:3" ht="15" x14ac:dyDescent="0.25">
      <c r="B60" s="2"/>
    </row>
  </sheetData>
  <pageMargins left="0.75" right="0.75" top="1" bottom="1" header="0.5" footer="0.5"/>
  <pageSetup paperSize="9" scale="85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94"/>
  <sheetViews>
    <sheetView zoomScale="110" zoomScaleNormal="110" zoomScalePageLayoutView="90" workbookViewId="0">
      <selection activeCell="A3" sqref="A3:B25"/>
    </sheetView>
  </sheetViews>
  <sheetFormatPr defaultColWidth="10.140625" defaultRowHeight="15" x14ac:dyDescent="0.25"/>
  <cols>
    <col min="1" max="1" width="51.42578125" style="1" customWidth="1"/>
    <col min="2" max="2" width="21.28515625" style="2" customWidth="1"/>
    <col min="3" max="3" width="10.140625" style="1"/>
    <col min="4" max="4" width="18.42578125" style="1" bestFit="1" customWidth="1"/>
    <col min="5" max="5" width="15.140625" style="1" customWidth="1"/>
    <col min="6" max="6" width="10.85546875" style="1" bestFit="1" customWidth="1"/>
    <col min="7" max="7" width="17.42578125" style="1" bestFit="1" customWidth="1"/>
    <col min="8" max="16384" width="10.140625" style="1"/>
  </cols>
  <sheetData>
    <row r="1" spans="1:5" ht="40.5" customHeight="1" x14ac:dyDescent="0.55000000000000004">
      <c r="A1" s="44" t="s">
        <v>71</v>
      </c>
      <c r="B1" s="44"/>
      <c r="C1" s="19"/>
    </row>
    <row r="2" spans="1:5" ht="17.25" customHeight="1" x14ac:dyDescent="0.35">
      <c r="A2" s="46"/>
      <c r="B2" s="46"/>
      <c r="C2" s="19"/>
    </row>
    <row r="3" spans="1:5" ht="15.75" customHeight="1" x14ac:dyDescent="0.35">
      <c r="A3" s="48"/>
      <c r="B3" s="64"/>
      <c r="C3" s="19"/>
    </row>
    <row r="4" spans="1:5" ht="15.75" customHeight="1" x14ac:dyDescent="0.35">
      <c r="A4" s="51" t="s">
        <v>70</v>
      </c>
      <c r="B4" s="52"/>
      <c r="C4" s="19"/>
    </row>
    <row r="5" spans="1:5" ht="15.75" customHeight="1" x14ac:dyDescent="0.35">
      <c r="A5" s="56"/>
      <c r="B5" s="65"/>
      <c r="C5" s="19"/>
    </row>
    <row r="6" spans="1:5" ht="15.75" customHeight="1" x14ac:dyDescent="0.35">
      <c r="A6" s="56" t="s">
        <v>69</v>
      </c>
      <c r="B6" s="66">
        <v>25000</v>
      </c>
      <c r="C6" s="19"/>
    </row>
    <row r="7" spans="1:5" ht="15.75" customHeight="1" x14ac:dyDescent="0.35">
      <c r="A7" s="56" t="s">
        <v>68</v>
      </c>
      <c r="B7" s="66">
        <v>0</v>
      </c>
      <c r="C7" s="19"/>
    </row>
    <row r="8" spans="1:5" ht="15.75" customHeight="1" x14ac:dyDescent="0.35">
      <c r="A8" s="56" t="s">
        <v>67</v>
      </c>
      <c r="B8" s="66">
        <v>0</v>
      </c>
      <c r="C8" s="19"/>
    </row>
    <row r="9" spans="1:5" ht="15.75" customHeight="1" x14ac:dyDescent="0.25">
      <c r="A9" s="4"/>
      <c r="B9" s="40"/>
      <c r="C9" s="19"/>
    </row>
    <row r="10" spans="1:5" ht="15.75" customHeight="1" x14ac:dyDescent="0.35">
      <c r="A10" s="53" t="s">
        <v>66</v>
      </c>
      <c r="B10" s="67">
        <f>SUM(B5:B9)</f>
        <v>25000</v>
      </c>
      <c r="C10" s="19"/>
    </row>
    <row r="11" spans="1:5" ht="15.75" customHeight="1" x14ac:dyDescent="0.35">
      <c r="A11" s="56"/>
      <c r="B11" s="66"/>
      <c r="C11" s="19"/>
    </row>
    <row r="12" spans="1:5" ht="15.75" customHeight="1" x14ac:dyDescent="0.35">
      <c r="A12" s="51" t="s">
        <v>65</v>
      </c>
      <c r="B12" s="52"/>
      <c r="C12" s="19"/>
    </row>
    <row r="13" spans="1:5" ht="15.75" customHeight="1" x14ac:dyDescent="0.35">
      <c r="A13" s="56"/>
      <c r="B13" s="66"/>
      <c r="C13" s="19"/>
      <c r="D13" s="68" t="s">
        <v>126</v>
      </c>
      <c r="E13" s="69" t="s">
        <v>139</v>
      </c>
    </row>
    <row r="14" spans="1:5" ht="15.75" customHeight="1" x14ac:dyDescent="0.35">
      <c r="A14" s="56" t="s">
        <v>138</v>
      </c>
      <c r="B14" s="66">
        <f>D14</f>
        <v>15000</v>
      </c>
      <c r="C14" s="19"/>
      <c r="D14" s="70">
        <v>15000</v>
      </c>
      <c r="E14" s="71">
        <v>0.08</v>
      </c>
    </row>
    <row r="15" spans="1:5" ht="15.75" customHeight="1" x14ac:dyDescent="0.35">
      <c r="A15" s="56"/>
      <c r="B15" s="72"/>
      <c r="C15" s="19"/>
    </row>
    <row r="16" spans="1:5" ht="15.75" customHeight="1" x14ac:dyDescent="0.35">
      <c r="A16" s="53" t="s">
        <v>64</v>
      </c>
      <c r="B16" s="67">
        <f>SUM(B13:B15)</f>
        <v>15000</v>
      </c>
      <c r="C16" s="19"/>
    </row>
    <row r="17" spans="1:7" ht="15.75" customHeight="1" x14ac:dyDescent="0.35">
      <c r="A17" s="53"/>
      <c r="B17" s="66"/>
      <c r="C17" s="19"/>
    </row>
    <row r="18" spans="1:7" ht="15.75" customHeight="1" x14ac:dyDescent="0.35">
      <c r="A18" s="51" t="s">
        <v>63</v>
      </c>
      <c r="B18" s="52"/>
      <c r="C18" s="19"/>
    </row>
    <row r="19" spans="1:7" ht="15.75" customHeight="1" x14ac:dyDescent="0.35">
      <c r="A19" s="56"/>
      <c r="B19" s="66"/>
      <c r="C19" s="19"/>
      <c r="D19" s="68" t="s">
        <v>126</v>
      </c>
      <c r="E19" s="73" t="s">
        <v>139</v>
      </c>
      <c r="F19" s="73" t="s">
        <v>127</v>
      </c>
      <c r="G19" s="69" t="s">
        <v>128</v>
      </c>
    </row>
    <row r="20" spans="1:7" ht="15.75" customHeight="1" x14ac:dyDescent="0.35">
      <c r="A20" s="56" t="s">
        <v>137</v>
      </c>
      <c r="B20" s="66">
        <f>D20</f>
        <v>47500</v>
      </c>
      <c r="C20" s="19"/>
      <c r="D20" s="70">
        <v>47500</v>
      </c>
      <c r="E20" s="74">
        <v>7.0000000000000007E-2</v>
      </c>
      <c r="F20" s="75">
        <v>5</v>
      </c>
      <c r="G20" s="76">
        <f>F20*4</f>
        <v>20</v>
      </c>
    </row>
    <row r="21" spans="1:7" ht="15.75" customHeight="1" x14ac:dyDescent="0.35">
      <c r="A21" s="56"/>
      <c r="B21" s="72"/>
      <c r="C21" s="19"/>
    </row>
    <row r="22" spans="1:7" ht="15.75" customHeight="1" x14ac:dyDescent="0.35">
      <c r="A22" s="53" t="s">
        <v>62</v>
      </c>
      <c r="B22" s="67">
        <f>SUM(B19:B21)</f>
        <v>47500</v>
      </c>
      <c r="C22" s="19"/>
    </row>
    <row r="23" spans="1:7" ht="15.75" customHeight="1" x14ac:dyDescent="0.35">
      <c r="A23" s="56"/>
      <c r="B23" s="66"/>
      <c r="C23" s="19"/>
    </row>
    <row r="24" spans="1:7" ht="18" x14ac:dyDescent="0.35">
      <c r="A24" s="51" t="s">
        <v>61</v>
      </c>
      <c r="B24" s="77">
        <f>B10+B16+B22</f>
        <v>87500</v>
      </c>
      <c r="C24" s="19"/>
    </row>
    <row r="25" spans="1:7" x14ac:dyDescent="0.25">
      <c r="A25" s="173"/>
      <c r="B25" s="78"/>
      <c r="C25" s="19"/>
    </row>
    <row r="26" spans="1:7" x14ac:dyDescent="0.25">
      <c r="A26" s="3"/>
      <c r="B26" s="17"/>
      <c r="C26" s="19"/>
    </row>
    <row r="27" spans="1:7" x14ac:dyDescent="0.25">
      <c r="A27" s="8"/>
      <c r="B27" s="18"/>
    </row>
    <row r="28" spans="1:7" x14ac:dyDescent="0.25">
      <c r="A28" s="3"/>
      <c r="B28" s="17"/>
    </row>
    <row r="29" spans="1:7" ht="14.25" x14ac:dyDescent="0.2">
      <c r="A29" s="15"/>
      <c r="B29" s="16"/>
    </row>
    <row r="1194" spans="2:2" x14ac:dyDescent="0.25">
      <c r="B1194" s="11"/>
    </row>
  </sheetData>
  <pageMargins left="0.75" right="0.75" top="1" bottom="1" header="0.5" footer="0.5"/>
  <pageSetup paperSize="9" scale="8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3"/>
  <sheetViews>
    <sheetView topLeftCell="A11" zoomScale="110" zoomScaleNormal="110" zoomScalePageLayoutView="80" workbookViewId="0">
      <selection activeCell="A18" sqref="A18:D52"/>
    </sheetView>
  </sheetViews>
  <sheetFormatPr defaultColWidth="10.140625" defaultRowHeight="12.75" x14ac:dyDescent="0.2"/>
  <cols>
    <col min="1" max="1" width="41" style="1" bestFit="1" customWidth="1"/>
    <col min="2" max="4" width="14.7109375" style="1" customWidth="1"/>
    <col min="5" max="5" width="4" style="1" customWidth="1"/>
    <col min="6" max="6" width="15.85546875" style="1" customWidth="1"/>
    <col min="7" max="18" width="11.28515625" style="1" bestFit="1" customWidth="1"/>
    <col min="19" max="19" width="13.140625" style="1" bestFit="1" customWidth="1"/>
    <col min="20" max="20" width="10.140625" style="1"/>
    <col min="21" max="21" width="4.28515625" style="1" customWidth="1"/>
    <col min="22" max="22" width="42.140625" style="1" bestFit="1" customWidth="1"/>
    <col min="23" max="16384" width="10.140625" style="1"/>
  </cols>
  <sheetData>
    <row r="1" spans="1:23" ht="32.25" x14ac:dyDescent="0.55000000000000004">
      <c r="A1" s="44" t="s">
        <v>96</v>
      </c>
      <c r="B1" s="44"/>
      <c r="C1" s="44"/>
      <c r="D1" s="44"/>
      <c r="E1" s="42"/>
    </row>
    <row r="2" spans="1:23" ht="30.75" customHeight="1" x14ac:dyDescent="0.35">
      <c r="A2" s="56"/>
      <c r="B2" s="79"/>
      <c r="C2" s="79"/>
      <c r="D2" s="80"/>
    </row>
    <row r="3" spans="1:23" ht="15.75" customHeight="1" x14ac:dyDescent="0.35">
      <c r="A3" s="81"/>
      <c r="B3" s="82" t="s">
        <v>41</v>
      </c>
      <c r="C3" s="82" t="s">
        <v>42</v>
      </c>
      <c r="D3" s="92" t="s">
        <v>43</v>
      </c>
      <c r="F3" s="100" t="s">
        <v>41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01" t="s">
        <v>129</v>
      </c>
      <c r="V3" s="100" t="s">
        <v>150</v>
      </c>
      <c r="W3" s="176"/>
    </row>
    <row r="4" spans="1:23" ht="15.75" customHeight="1" x14ac:dyDescent="0.35">
      <c r="A4" s="51" t="s">
        <v>86</v>
      </c>
      <c r="B4" s="84"/>
      <c r="C4" s="84"/>
      <c r="D4" s="52"/>
      <c r="F4" s="88" t="s">
        <v>130</v>
      </c>
      <c r="G4" s="102">
        <v>1</v>
      </c>
      <c r="H4" s="102">
        <v>2</v>
      </c>
      <c r="I4" s="102">
        <v>3</v>
      </c>
      <c r="J4" s="102">
        <v>4</v>
      </c>
      <c r="K4" s="102">
        <v>5</v>
      </c>
      <c r="L4" s="102">
        <v>6</v>
      </c>
      <c r="M4" s="102">
        <v>7</v>
      </c>
      <c r="N4" s="102">
        <v>8</v>
      </c>
      <c r="O4" s="102">
        <v>9</v>
      </c>
      <c r="P4" s="102">
        <v>10</v>
      </c>
      <c r="Q4" s="102">
        <v>11</v>
      </c>
      <c r="R4" s="102">
        <v>12</v>
      </c>
      <c r="S4" s="103"/>
      <c r="V4" s="56" t="s">
        <v>146</v>
      </c>
      <c r="W4" s="177">
        <v>13</v>
      </c>
    </row>
    <row r="5" spans="1:23" ht="15.75" customHeight="1" x14ac:dyDescent="0.35">
      <c r="A5" s="56"/>
      <c r="B5" s="178"/>
      <c r="C5" s="178"/>
      <c r="D5" s="85"/>
      <c r="F5" s="88" t="s">
        <v>149</v>
      </c>
      <c r="G5" s="46">
        <v>25</v>
      </c>
      <c r="H5" s="46">
        <v>35</v>
      </c>
      <c r="I5" s="46">
        <v>45</v>
      </c>
      <c r="J5" s="46">
        <v>60</v>
      </c>
      <c r="K5" s="46">
        <v>65</v>
      </c>
      <c r="L5" s="46">
        <v>65</v>
      </c>
      <c r="M5" s="46">
        <v>70</v>
      </c>
      <c r="N5" s="46">
        <v>70</v>
      </c>
      <c r="O5" s="46">
        <v>70</v>
      </c>
      <c r="P5" s="46">
        <v>75</v>
      </c>
      <c r="Q5" s="46">
        <v>75</v>
      </c>
      <c r="R5" s="46">
        <v>75</v>
      </c>
      <c r="S5" s="103">
        <f>SUM(G5:R5)</f>
        <v>730</v>
      </c>
      <c r="T5" s="104">
        <f>W6/1.09</f>
        <v>155.04587155963301</v>
      </c>
      <c r="V5" s="56" t="s">
        <v>147</v>
      </c>
      <c r="W5" s="175">
        <v>13</v>
      </c>
    </row>
    <row r="6" spans="1:23" ht="15.75" customHeight="1" x14ac:dyDescent="0.35">
      <c r="A6" s="56" t="s">
        <v>124</v>
      </c>
      <c r="B6" s="57">
        <f>S6</f>
        <v>113183.48623853209</v>
      </c>
      <c r="C6" s="57">
        <f>S12</f>
        <v>170298.16513761471</v>
      </c>
      <c r="D6" s="66">
        <f>S18</f>
        <v>197917.43119266059</v>
      </c>
      <c r="F6" s="105" t="s">
        <v>131</v>
      </c>
      <c r="G6" s="106">
        <f t="shared" ref="G6:R6" si="0">G5*$T$5</f>
        <v>3876.1467889908254</v>
      </c>
      <c r="H6" s="106">
        <f t="shared" si="0"/>
        <v>5426.6055045871553</v>
      </c>
      <c r="I6" s="106">
        <f t="shared" si="0"/>
        <v>6977.0642201834853</v>
      </c>
      <c r="J6" s="106">
        <f t="shared" si="0"/>
        <v>9302.7522935779816</v>
      </c>
      <c r="K6" s="106">
        <f t="shared" si="0"/>
        <v>10077.981651376145</v>
      </c>
      <c r="L6" s="106">
        <f t="shared" si="0"/>
        <v>10077.981651376145</v>
      </c>
      <c r="M6" s="106">
        <f t="shared" si="0"/>
        <v>10853.211009174311</v>
      </c>
      <c r="N6" s="106">
        <f t="shared" si="0"/>
        <v>10853.211009174311</v>
      </c>
      <c r="O6" s="106">
        <f t="shared" si="0"/>
        <v>10853.211009174311</v>
      </c>
      <c r="P6" s="106">
        <f t="shared" si="0"/>
        <v>11628.440366972476</v>
      </c>
      <c r="Q6" s="106">
        <f t="shared" si="0"/>
        <v>11628.440366972476</v>
      </c>
      <c r="R6" s="106">
        <f t="shared" si="0"/>
        <v>11628.440366972476</v>
      </c>
      <c r="S6" s="107">
        <f>SUM(G6:R6)</f>
        <v>113183.48623853209</v>
      </c>
      <c r="T6" s="39"/>
      <c r="V6" s="61" t="s">
        <v>148</v>
      </c>
      <c r="W6" s="174">
        <f>W4*W5</f>
        <v>169</v>
      </c>
    </row>
    <row r="7" spans="1:23" ht="15.75" customHeight="1" x14ac:dyDescent="0.35">
      <c r="A7" s="4"/>
      <c r="B7" s="179"/>
      <c r="C7" s="179"/>
      <c r="D7" s="20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39"/>
    </row>
    <row r="8" spans="1:23" ht="15.75" customHeight="1" x14ac:dyDescent="0.35">
      <c r="A8" s="51" t="s">
        <v>85</v>
      </c>
      <c r="B8" s="60">
        <f>SUM(B6:B7)</f>
        <v>113183.48623853209</v>
      </c>
      <c r="C8" s="60">
        <f>SUM(C6:C7)</f>
        <v>170298.16513761471</v>
      </c>
      <c r="D8" s="77">
        <f>SUM(D6:D7)</f>
        <v>197917.43119266059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39"/>
    </row>
    <row r="9" spans="1:23" ht="15.75" customHeight="1" x14ac:dyDescent="0.35">
      <c r="A9" s="56"/>
      <c r="B9" s="86"/>
      <c r="C9" s="86"/>
      <c r="D9" s="87"/>
      <c r="F9" s="100" t="s">
        <v>42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101" t="s">
        <v>129</v>
      </c>
      <c r="T9" s="39"/>
      <c r="V9" s="100" t="s">
        <v>42</v>
      </c>
      <c r="W9" s="176"/>
    </row>
    <row r="10" spans="1:23" ht="15.75" customHeight="1" x14ac:dyDescent="0.35">
      <c r="A10" s="51" t="s">
        <v>84</v>
      </c>
      <c r="B10" s="84"/>
      <c r="C10" s="84"/>
      <c r="D10" s="52"/>
      <c r="F10" s="56" t="s">
        <v>130</v>
      </c>
      <c r="G10" s="102">
        <v>1</v>
      </c>
      <c r="H10" s="102">
        <v>2</v>
      </c>
      <c r="I10" s="102">
        <v>3</v>
      </c>
      <c r="J10" s="102">
        <v>4</v>
      </c>
      <c r="K10" s="102">
        <v>5</v>
      </c>
      <c r="L10" s="102">
        <v>6</v>
      </c>
      <c r="M10" s="102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/>
      <c r="T10" s="39"/>
      <c r="V10" s="56" t="s">
        <v>146</v>
      </c>
      <c r="W10" s="177">
        <v>15</v>
      </c>
    </row>
    <row r="11" spans="1:23" ht="15.75" customHeight="1" x14ac:dyDescent="0.35">
      <c r="A11" s="56"/>
      <c r="B11" s="86"/>
      <c r="C11" s="86"/>
      <c r="D11" s="87"/>
      <c r="F11" s="88" t="s">
        <v>149</v>
      </c>
      <c r="G11" s="46">
        <v>80</v>
      </c>
      <c r="H11" s="46">
        <v>80</v>
      </c>
      <c r="I11" s="46">
        <v>80</v>
      </c>
      <c r="J11" s="46">
        <v>80</v>
      </c>
      <c r="K11" s="46">
        <v>80</v>
      </c>
      <c r="L11" s="46">
        <v>80</v>
      </c>
      <c r="M11" s="46">
        <v>85</v>
      </c>
      <c r="N11" s="46">
        <v>85</v>
      </c>
      <c r="O11" s="46">
        <v>85</v>
      </c>
      <c r="P11" s="46">
        <v>85</v>
      </c>
      <c r="Q11" s="46">
        <v>85</v>
      </c>
      <c r="R11" s="46">
        <v>85</v>
      </c>
      <c r="S11" s="103">
        <f>SUM(G11:R11)</f>
        <v>990</v>
      </c>
      <c r="T11" s="104">
        <f>W12/1.09</f>
        <v>172.0183486238532</v>
      </c>
      <c r="V11" s="56" t="s">
        <v>147</v>
      </c>
      <c r="W11" s="175">
        <v>12.5</v>
      </c>
    </row>
    <row r="12" spans="1:23" ht="15.75" customHeight="1" x14ac:dyDescent="0.35">
      <c r="A12" s="88" t="s">
        <v>155</v>
      </c>
      <c r="B12" s="57">
        <v>0</v>
      </c>
      <c r="C12" s="57">
        <f>0.1*S11*35</f>
        <v>3465</v>
      </c>
      <c r="D12" s="66">
        <f>0.15*S17*35</f>
        <v>5670</v>
      </c>
      <c r="F12" s="105" t="s">
        <v>131</v>
      </c>
      <c r="G12" s="106">
        <f t="shared" ref="G12:R12" si="1">G11*$T$11</f>
        <v>13761.467889908256</v>
      </c>
      <c r="H12" s="106">
        <f t="shared" si="1"/>
        <v>13761.467889908256</v>
      </c>
      <c r="I12" s="106">
        <f t="shared" si="1"/>
        <v>13761.467889908256</v>
      </c>
      <c r="J12" s="106">
        <f t="shared" si="1"/>
        <v>13761.467889908256</v>
      </c>
      <c r="K12" s="106">
        <f t="shared" si="1"/>
        <v>13761.467889908256</v>
      </c>
      <c r="L12" s="106">
        <f t="shared" si="1"/>
        <v>13761.467889908256</v>
      </c>
      <c r="M12" s="106">
        <f t="shared" si="1"/>
        <v>14621.559633027522</v>
      </c>
      <c r="N12" s="106">
        <f t="shared" si="1"/>
        <v>14621.559633027522</v>
      </c>
      <c r="O12" s="106">
        <f t="shared" si="1"/>
        <v>14621.559633027522</v>
      </c>
      <c r="P12" s="106">
        <f t="shared" si="1"/>
        <v>14621.559633027522</v>
      </c>
      <c r="Q12" s="106">
        <f t="shared" si="1"/>
        <v>14621.559633027522</v>
      </c>
      <c r="R12" s="106">
        <f t="shared" si="1"/>
        <v>14621.559633027522</v>
      </c>
      <c r="S12" s="107">
        <f>SUM(G12:R12)</f>
        <v>170298.16513761471</v>
      </c>
      <c r="T12" s="39"/>
      <c r="V12" s="61" t="s">
        <v>148</v>
      </c>
      <c r="W12" s="174">
        <f>W10*W11</f>
        <v>187.5</v>
      </c>
    </row>
    <row r="13" spans="1:23" ht="15.75" customHeight="1" x14ac:dyDescent="0.35">
      <c r="A13" s="89"/>
      <c r="B13" s="179"/>
      <c r="C13" s="179"/>
      <c r="D13" s="20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39"/>
    </row>
    <row r="14" spans="1:23" ht="15.75" customHeight="1" x14ac:dyDescent="0.35">
      <c r="A14" s="51" t="s">
        <v>83</v>
      </c>
      <c r="B14" s="60">
        <f>SUM(B11:B13)</f>
        <v>0</v>
      </c>
      <c r="C14" s="60">
        <f>SUM(C11:C13)</f>
        <v>3465</v>
      </c>
      <c r="D14" s="77">
        <f>SUM(D11:D13)</f>
        <v>5670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39"/>
    </row>
    <row r="15" spans="1:23" ht="15.75" customHeight="1" x14ac:dyDescent="0.35">
      <c r="A15" s="4"/>
      <c r="B15" s="179"/>
      <c r="C15" s="179"/>
      <c r="D15" s="20"/>
      <c r="F15" s="100" t="s">
        <v>43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101" t="s">
        <v>129</v>
      </c>
      <c r="T15" s="39"/>
      <c r="V15" s="100" t="s">
        <v>43</v>
      </c>
      <c r="W15" s="176"/>
    </row>
    <row r="16" spans="1:23" ht="15.75" customHeight="1" x14ac:dyDescent="0.35">
      <c r="A16" s="51" t="s">
        <v>82</v>
      </c>
      <c r="B16" s="60">
        <f>B8-B14</f>
        <v>113183.48623853209</v>
      </c>
      <c r="C16" s="60">
        <f>C8-C14</f>
        <v>166833.16513761471</v>
      </c>
      <c r="D16" s="77">
        <f>D8-D14</f>
        <v>192247.43119266059</v>
      </c>
      <c r="F16" s="56" t="s">
        <v>130</v>
      </c>
      <c r="G16" s="102">
        <v>1</v>
      </c>
      <c r="H16" s="102">
        <v>2</v>
      </c>
      <c r="I16" s="102">
        <v>3</v>
      </c>
      <c r="J16" s="102">
        <v>4</v>
      </c>
      <c r="K16" s="102">
        <v>5</v>
      </c>
      <c r="L16" s="102">
        <v>6</v>
      </c>
      <c r="M16" s="102">
        <v>7</v>
      </c>
      <c r="N16" s="102">
        <v>8</v>
      </c>
      <c r="O16" s="102">
        <v>9</v>
      </c>
      <c r="P16" s="102">
        <v>10</v>
      </c>
      <c r="Q16" s="102">
        <v>11</v>
      </c>
      <c r="R16" s="102">
        <v>12</v>
      </c>
      <c r="S16" s="103"/>
      <c r="T16" s="39"/>
      <c r="V16" s="56" t="s">
        <v>146</v>
      </c>
      <c r="W16" s="177">
        <v>17</v>
      </c>
    </row>
    <row r="17" spans="1:23" ht="15.75" customHeight="1" x14ac:dyDescent="0.35">
      <c r="A17" s="93" t="s">
        <v>81</v>
      </c>
      <c r="B17" s="184">
        <f>B16/B8</f>
        <v>1</v>
      </c>
      <c r="C17" s="184">
        <f>C16/C8</f>
        <v>0.97965333333333338</v>
      </c>
      <c r="D17" s="185">
        <f>D16/D8</f>
        <v>0.97135168961201501</v>
      </c>
      <c r="F17" s="88" t="s">
        <v>149</v>
      </c>
      <c r="G17" s="46">
        <v>90</v>
      </c>
      <c r="H17" s="46">
        <v>90</v>
      </c>
      <c r="I17" s="46">
        <v>90</v>
      </c>
      <c r="J17" s="46">
        <v>90</v>
      </c>
      <c r="K17" s="46">
        <v>90</v>
      </c>
      <c r="L17" s="46">
        <v>90</v>
      </c>
      <c r="M17" s="46">
        <v>90</v>
      </c>
      <c r="N17" s="46">
        <v>90</v>
      </c>
      <c r="O17" s="46">
        <v>90</v>
      </c>
      <c r="P17" s="46">
        <v>90</v>
      </c>
      <c r="Q17" s="46">
        <v>90</v>
      </c>
      <c r="R17" s="46">
        <v>90</v>
      </c>
      <c r="S17" s="103">
        <f>SUM(G17:R17)</f>
        <v>1080</v>
      </c>
      <c r="T17" s="104">
        <f>W18/1.09</f>
        <v>183.25688073394494</v>
      </c>
      <c r="V17" s="56" t="s">
        <v>147</v>
      </c>
      <c r="W17" s="175">
        <v>11.75</v>
      </c>
    </row>
    <row r="18" spans="1:23" ht="15.75" customHeight="1" x14ac:dyDescent="0.35">
      <c r="A18" s="48"/>
      <c r="B18" s="91"/>
      <c r="C18" s="91"/>
      <c r="D18" s="50"/>
      <c r="F18" s="105" t="s">
        <v>131</v>
      </c>
      <c r="G18" s="106">
        <f t="shared" ref="G18:R18" si="2">G17*$T$17</f>
        <v>16493.119266055044</v>
      </c>
      <c r="H18" s="106">
        <f t="shared" si="2"/>
        <v>16493.119266055044</v>
      </c>
      <c r="I18" s="106">
        <f t="shared" si="2"/>
        <v>16493.119266055044</v>
      </c>
      <c r="J18" s="106">
        <f t="shared" si="2"/>
        <v>16493.119266055044</v>
      </c>
      <c r="K18" s="106">
        <f t="shared" si="2"/>
        <v>16493.119266055044</v>
      </c>
      <c r="L18" s="106">
        <f t="shared" si="2"/>
        <v>16493.119266055044</v>
      </c>
      <c r="M18" s="106">
        <f t="shared" si="2"/>
        <v>16493.119266055044</v>
      </c>
      <c r="N18" s="106">
        <f t="shared" si="2"/>
        <v>16493.119266055044</v>
      </c>
      <c r="O18" s="106">
        <f t="shared" si="2"/>
        <v>16493.119266055044</v>
      </c>
      <c r="P18" s="106">
        <f t="shared" si="2"/>
        <v>16493.119266055044</v>
      </c>
      <c r="Q18" s="106">
        <f t="shared" si="2"/>
        <v>16493.119266055044</v>
      </c>
      <c r="R18" s="106">
        <f t="shared" si="2"/>
        <v>16493.119266055044</v>
      </c>
      <c r="S18" s="107">
        <f>SUM(G18:R18)</f>
        <v>197917.43119266059</v>
      </c>
      <c r="V18" s="61" t="s">
        <v>148</v>
      </c>
      <c r="W18" s="174">
        <f>W16*W17</f>
        <v>199.75</v>
      </c>
    </row>
    <row r="19" spans="1:23" ht="15.75" customHeight="1" x14ac:dyDescent="0.35">
      <c r="A19" s="51" t="s">
        <v>80</v>
      </c>
      <c r="B19" s="60"/>
      <c r="C19" s="60"/>
      <c r="D19" s="77"/>
    </row>
    <row r="20" spans="1:23" ht="15.75" customHeight="1" x14ac:dyDescent="0.35">
      <c r="A20" s="56"/>
      <c r="B20" s="186" t="s">
        <v>41</v>
      </c>
      <c r="C20" s="186" t="s">
        <v>42</v>
      </c>
      <c r="D20" s="83" t="s">
        <v>43</v>
      </c>
    </row>
    <row r="21" spans="1:23" ht="15.75" customHeight="1" x14ac:dyDescent="0.35">
      <c r="A21" s="53" t="s">
        <v>79</v>
      </c>
      <c r="B21" s="86"/>
      <c r="C21" s="86"/>
      <c r="D21" s="87"/>
    </row>
    <row r="22" spans="1:23" ht="15.75" customHeight="1" x14ac:dyDescent="0.35">
      <c r="A22" s="56" t="s">
        <v>95</v>
      </c>
      <c r="B22" s="57">
        <v>500</v>
      </c>
      <c r="C22" s="57">
        <f t="shared" ref="C22:D27" si="3">1.02*B22</f>
        <v>510</v>
      </c>
      <c r="D22" s="66">
        <f t="shared" si="3"/>
        <v>520.20000000000005</v>
      </c>
    </row>
    <row r="23" spans="1:23" ht="15.75" customHeight="1" x14ac:dyDescent="0.35">
      <c r="A23" s="56" t="s">
        <v>94</v>
      </c>
      <c r="B23" s="57">
        <v>1200</v>
      </c>
      <c r="C23" s="57">
        <f t="shared" si="3"/>
        <v>1224</v>
      </c>
      <c r="D23" s="66">
        <f t="shared" si="3"/>
        <v>1248.48</v>
      </c>
    </row>
    <row r="24" spans="1:23" ht="15.75" customHeight="1" x14ac:dyDescent="0.35">
      <c r="A24" s="56" t="s">
        <v>88</v>
      </c>
      <c r="B24" s="57">
        <v>1000</v>
      </c>
      <c r="C24" s="57">
        <f t="shared" si="3"/>
        <v>1020</v>
      </c>
      <c r="D24" s="66">
        <f t="shared" si="3"/>
        <v>1040.4000000000001</v>
      </c>
    </row>
    <row r="25" spans="1:23" ht="15.75" customHeight="1" x14ac:dyDescent="0.35">
      <c r="A25" s="56" t="s">
        <v>93</v>
      </c>
      <c r="B25" s="57">
        <v>2000</v>
      </c>
      <c r="C25" s="57">
        <v>2250</v>
      </c>
      <c r="D25" s="66">
        <v>2500</v>
      </c>
    </row>
    <row r="26" spans="1:23" ht="15.75" customHeight="1" x14ac:dyDescent="0.35">
      <c r="A26" s="56" t="s">
        <v>136</v>
      </c>
      <c r="B26" s="57">
        <v>300</v>
      </c>
      <c r="C26" s="57">
        <f t="shared" si="3"/>
        <v>306</v>
      </c>
      <c r="D26" s="66">
        <f t="shared" si="3"/>
        <v>312.12</v>
      </c>
    </row>
    <row r="27" spans="1:23" ht="15.75" customHeight="1" x14ac:dyDescent="0.35">
      <c r="A27" s="56" t="s">
        <v>53</v>
      </c>
      <c r="B27" s="57">
        <v>500</v>
      </c>
      <c r="C27" s="57">
        <f t="shared" si="3"/>
        <v>510</v>
      </c>
      <c r="D27" s="66">
        <f t="shared" si="3"/>
        <v>520.20000000000005</v>
      </c>
    </row>
    <row r="28" spans="1:23" ht="15.75" customHeight="1" x14ac:dyDescent="0.35">
      <c r="A28" s="53" t="s">
        <v>92</v>
      </c>
      <c r="B28" s="59">
        <f>SUM(B22:B27)</f>
        <v>5500</v>
      </c>
      <c r="C28" s="59">
        <f>SUM(C22:C27)</f>
        <v>5820</v>
      </c>
      <c r="D28" s="67">
        <f>SUM(D22:D27)</f>
        <v>6141.4</v>
      </c>
    </row>
    <row r="29" spans="1:23" ht="15.75" customHeight="1" x14ac:dyDescent="0.35">
      <c r="A29" s="53"/>
      <c r="B29" s="86"/>
      <c r="C29" s="86"/>
      <c r="D29" s="87"/>
    </row>
    <row r="30" spans="1:23" ht="15.75" customHeight="1" x14ac:dyDescent="0.35">
      <c r="A30" s="53" t="s">
        <v>78</v>
      </c>
      <c r="B30" s="86"/>
      <c r="C30" s="86"/>
      <c r="D30" s="87"/>
    </row>
    <row r="31" spans="1:23" ht="15.75" customHeight="1" x14ac:dyDescent="0.35">
      <c r="A31" s="56" t="s">
        <v>151</v>
      </c>
      <c r="B31" s="57">
        <f>2500*12</f>
        <v>30000</v>
      </c>
      <c r="C31" s="57">
        <f>1.02*B31</f>
        <v>30600</v>
      </c>
      <c r="D31" s="66">
        <f>1.02*C31</f>
        <v>31212</v>
      </c>
    </row>
    <row r="32" spans="1:23" ht="15.75" customHeight="1" x14ac:dyDescent="0.35">
      <c r="A32" s="56" t="s">
        <v>152</v>
      </c>
      <c r="B32" s="57">
        <v>5000</v>
      </c>
      <c r="C32" s="57">
        <f>1.02*B32</f>
        <v>5100</v>
      </c>
      <c r="D32" s="66">
        <f>1.02*C32</f>
        <v>5202</v>
      </c>
    </row>
    <row r="33" spans="1:5" ht="15.75" customHeight="1" x14ac:dyDescent="0.35">
      <c r="A33" s="56" t="s">
        <v>153</v>
      </c>
      <c r="B33" s="57">
        <v>1500</v>
      </c>
      <c r="C33" s="57">
        <f t="shared" ref="C33:D33" si="4">1.02*B33</f>
        <v>1530</v>
      </c>
      <c r="D33" s="66">
        <f t="shared" si="4"/>
        <v>1560.6000000000001</v>
      </c>
    </row>
    <row r="34" spans="1:5" ht="15.75" customHeight="1" x14ac:dyDescent="0.35">
      <c r="A34" s="53" t="s">
        <v>91</v>
      </c>
      <c r="B34" s="59">
        <f>SUM(B31:B33)</f>
        <v>36500</v>
      </c>
      <c r="C34" s="59">
        <f>SUM(C31:C33)</f>
        <v>37230</v>
      </c>
      <c r="D34" s="67">
        <f>SUM(D31:D33)</f>
        <v>37974.6</v>
      </c>
    </row>
    <row r="35" spans="1:5" ht="15.75" customHeight="1" x14ac:dyDescent="0.35">
      <c r="A35" s="53"/>
      <c r="B35" s="86"/>
      <c r="C35" s="86"/>
      <c r="D35" s="87"/>
    </row>
    <row r="36" spans="1:5" ht="15.75" customHeight="1" x14ac:dyDescent="0.35">
      <c r="A36" s="53" t="s">
        <v>77</v>
      </c>
      <c r="B36" s="86"/>
      <c r="C36" s="86"/>
      <c r="D36" s="87"/>
    </row>
    <row r="37" spans="1:5" ht="15.75" customHeight="1" x14ac:dyDescent="0.35">
      <c r="A37" s="56" t="s">
        <v>90</v>
      </c>
      <c r="B37" s="57">
        <v>6000</v>
      </c>
      <c r="C37" s="57">
        <v>8000</v>
      </c>
      <c r="D37" s="66">
        <v>10000</v>
      </c>
    </row>
    <row r="38" spans="1:5" ht="15.75" customHeight="1" x14ac:dyDescent="0.35">
      <c r="A38" s="56" t="s">
        <v>154</v>
      </c>
      <c r="B38" s="57">
        <v>1200</v>
      </c>
      <c r="C38" s="57">
        <f>1.02*B38</f>
        <v>1224</v>
      </c>
      <c r="D38" s="66">
        <f>1.02*C38</f>
        <v>1248.48</v>
      </c>
    </row>
    <row r="39" spans="1:5" ht="15.75" customHeight="1" x14ac:dyDescent="0.35">
      <c r="A39" s="53" t="s">
        <v>89</v>
      </c>
      <c r="B39" s="59">
        <f>SUM(B37:B38)</f>
        <v>7200</v>
      </c>
      <c r="C39" s="59">
        <f t="shared" ref="C39:D39" si="5">SUM(C37:C38)</f>
        <v>9224</v>
      </c>
      <c r="D39" s="67">
        <f t="shared" si="5"/>
        <v>11248.48</v>
      </c>
    </row>
    <row r="40" spans="1:5" ht="15.75" customHeight="1" x14ac:dyDescent="0.35">
      <c r="A40" s="56"/>
      <c r="B40" s="86"/>
      <c r="C40" s="86"/>
      <c r="D40" s="87"/>
    </row>
    <row r="41" spans="1:5" ht="15.75" customHeight="1" x14ac:dyDescent="0.35">
      <c r="A41" s="53" t="s">
        <v>76</v>
      </c>
      <c r="B41" s="86"/>
      <c r="C41" s="86"/>
      <c r="D41" s="87"/>
      <c r="E41" s="9"/>
    </row>
    <row r="42" spans="1:5" ht="15.75" customHeight="1" x14ac:dyDescent="0.35">
      <c r="A42" s="56" t="str">
        <f>Investering!A7</f>
        <v>Verbouwing</v>
      </c>
      <c r="B42" s="57">
        <f>Investering!B7/Investering!C7</f>
        <v>5000</v>
      </c>
      <c r="C42" s="57">
        <f>B42</f>
        <v>5000</v>
      </c>
      <c r="D42" s="66">
        <f>C42</f>
        <v>5000</v>
      </c>
    </row>
    <row r="43" spans="1:5" ht="15.75" customHeight="1" x14ac:dyDescent="0.35">
      <c r="A43" s="56" t="str">
        <f>Investering!A8</f>
        <v>Inrichting</v>
      </c>
      <c r="B43" s="57">
        <f>Investering!B8/Investering!C8</f>
        <v>4000</v>
      </c>
      <c r="C43" s="57">
        <f t="shared" ref="C43:D43" si="6">B43</f>
        <v>4000</v>
      </c>
      <c r="D43" s="66">
        <f t="shared" si="6"/>
        <v>4000</v>
      </c>
    </row>
    <row r="44" spans="1:5" ht="15.75" customHeight="1" x14ac:dyDescent="0.35">
      <c r="A44" s="56" t="str">
        <f>Investering!A9</f>
        <v>Overige inventaris</v>
      </c>
      <c r="B44" s="57">
        <f>Investering!B9/Investering!C9</f>
        <v>1000</v>
      </c>
      <c r="C44" s="57">
        <f t="shared" ref="C44:D44" si="7">B44</f>
        <v>1000</v>
      </c>
      <c r="D44" s="66">
        <f t="shared" si="7"/>
        <v>1000</v>
      </c>
    </row>
    <row r="45" spans="1:5" ht="15.75" customHeight="1" x14ac:dyDescent="0.35">
      <c r="A45" s="56" t="str">
        <f>Investering!A10</f>
        <v>Website</v>
      </c>
      <c r="B45" s="57">
        <f>Investering!B10/Investering!C10</f>
        <v>600</v>
      </c>
      <c r="C45" s="57">
        <f t="shared" ref="C45:D45" si="8">B45</f>
        <v>600</v>
      </c>
      <c r="D45" s="66">
        <f t="shared" si="8"/>
        <v>600</v>
      </c>
    </row>
    <row r="46" spans="1:5" ht="15.75" customHeight="1" x14ac:dyDescent="0.35">
      <c r="A46" s="56" t="str">
        <f>Investering!A11</f>
        <v>Overig</v>
      </c>
      <c r="B46" s="57">
        <f>Investering!B11/Investering!C11</f>
        <v>200</v>
      </c>
      <c r="C46" s="57">
        <f t="shared" ref="C46" si="9">B46</f>
        <v>200</v>
      </c>
      <c r="D46" s="66">
        <f t="shared" ref="D46" si="10">C46</f>
        <v>200</v>
      </c>
    </row>
    <row r="47" spans="1:5" ht="15.75" customHeight="1" x14ac:dyDescent="0.35">
      <c r="A47" s="53" t="s">
        <v>87</v>
      </c>
      <c r="B47" s="59">
        <f>SUM(B42:B46)</f>
        <v>10800</v>
      </c>
      <c r="C47" s="59">
        <f t="shared" ref="C47:D47" si="11">SUM(C42:C46)</f>
        <v>10800</v>
      </c>
      <c r="D47" s="67">
        <f t="shared" si="11"/>
        <v>10800</v>
      </c>
    </row>
    <row r="48" spans="1:5" ht="15.75" customHeight="1" x14ac:dyDescent="0.35">
      <c r="A48" s="53"/>
      <c r="B48" s="59"/>
      <c r="C48" s="59"/>
      <c r="D48" s="67"/>
    </row>
    <row r="49" spans="1:4" ht="15.75" customHeight="1" x14ac:dyDescent="0.35">
      <c r="A49" s="53" t="s">
        <v>56</v>
      </c>
      <c r="B49" s="59">
        <f>Investering!B20</f>
        <v>2500</v>
      </c>
      <c r="C49" s="59">
        <v>0</v>
      </c>
      <c r="D49" s="67">
        <v>0</v>
      </c>
    </row>
    <row r="50" spans="1:4" ht="15.75" customHeight="1" x14ac:dyDescent="0.25">
      <c r="A50" s="4"/>
      <c r="B50" s="3"/>
      <c r="C50" s="3"/>
      <c r="D50" s="7"/>
    </row>
    <row r="51" spans="1:4" ht="15.75" customHeight="1" x14ac:dyDescent="0.35">
      <c r="A51" s="51" t="s">
        <v>75</v>
      </c>
      <c r="B51" s="60">
        <f>B28+B34+B39+B47+B49</f>
        <v>62500</v>
      </c>
      <c r="C51" s="60">
        <f t="shared" ref="C51:D51" si="12">C28+C34+C39+C47+C49</f>
        <v>63074</v>
      </c>
      <c r="D51" s="77">
        <f t="shared" si="12"/>
        <v>66164.479999999996</v>
      </c>
    </row>
    <row r="52" spans="1:4" ht="15.75" customHeight="1" x14ac:dyDescent="0.35">
      <c r="A52" s="93"/>
      <c r="B52" s="94"/>
      <c r="C52" s="94"/>
      <c r="D52" s="95"/>
    </row>
    <row r="53" spans="1:4" ht="15.75" customHeight="1" x14ac:dyDescent="0.35">
      <c r="A53" s="142" t="s">
        <v>74</v>
      </c>
      <c r="B53" s="182">
        <f>B16-B51</f>
        <v>50683.486238532088</v>
      </c>
      <c r="C53" s="182">
        <f>C16-C51</f>
        <v>103759.16513761471</v>
      </c>
      <c r="D53" s="183">
        <f>D16-D51</f>
        <v>126082.95119266059</v>
      </c>
    </row>
    <row r="54" spans="1:4" ht="15.75" customHeight="1" x14ac:dyDescent="0.35">
      <c r="A54" s="56"/>
      <c r="B54" s="181"/>
      <c r="C54" s="181"/>
      <c r="D54" s="96"/>
    </row>
    <row r="55" spans="1:4" ht="15.75" customHeight="1" x14ac:dyDescent="0.35">
      <c r="A55" s="56" t="s">
        <v>73</v>
      </c>
      <c r="B55" s="57">
        <f>'Liquiditeit Jaar 1'!N28+'Liquiditeit Jaar 1'!N29</f>
        <v>4275.6250000000009</v>
      </c>
      <c r="C55" s="57">
        <f>'Liquiditeit Jaar 2'!N28+'Liquiditeit Jaar 2'!N29</f>
        <v>2410.6249999999995</v>
      </c>
      <c r="D55" s="66">
        <f>'Liquiditeit Jaar 3'!N28+'Liquiditeit Jaar 3'!N29</f>
        <v>1745.6250000000005</v>
      </c>
    </row>
    <row r="56" spans="1:4" ht="15.75" customHeight="1" x14ac:dyDescent="0.35">
      <c r="A56" s="56"/>
      <c r="B56" s="181"/>
      <c r="C56" s="181"/>
      <c r="D56" s="96"/>
    </row>
    <row r="57" spans="1:4" ht="15.75" customHeight="1" x14ac:dyDescent="0.35">
      <c r="A57" s="51" t="s">
        <v>72</v>
      </c>
      <c r="B57" s="60">
        <f>B53-B55</f>
        <v>46407.861238532088</v>
      </c>
      <c r="C57" s="60">
        <f>C53-C55</f>
        <v>101348.54013761471</v>
      </c>
      <c r="D57" s="77">
        <f>D53-D55</f>
        <v>124337.32619266059</v>
      </c>
    </row>
    <row r="58" spans="1:4" ht="18" x14ac:dyDescent="0.35">
      <c r="A58" s="56"/>
      <c r="B58" s="46"/>
      <c r="C58" s="46"/>
      <c r="D58" s="58"/>
    </row>
    <row r="59" spans="1:4" ht="15.75" customHeight="1" x14ac:dyDescent="0.35">
      <c r="A59" s="56" t="s">
        <v>125</v>
      </c>
      <c r="B59" s="57">
        <f>'Berekening IB ZVW'!D23</f>
        <v>6766.1683857554963</v>
      </c>
      <c r="C59" s="57">
        <f>'Berekening IB ZVW'!G23</f>
        <v>30922.181436582578</v>
      </c>
      <c r="D59" s="66">
        <f>'Berekening IB ZVW'!J23</f>
        <v>40708.507660215611</v>
      </c>
    </row>
    <row r="60" spans="1:4" ht="15.75" customHeight="1" x14ac:dyDescent="0.35">
      <c r="A60" s="56" t="s">
        <v>123</v>
      </c>
      <c r="B60" s="57">
        <f>'Berekening IB ZVW'!D16</f>
        <v>1746.135346249999</v>
      </c>
      <c r="C60" s="57">
        <f>'Berekening IB ZVW'!G16</f>
        <v>3119</v>
      </c>
      <c r="D60" s="66">
        <f>'Berekening IB ZVW'!J16</f>
        <v>3119</v>
      </c>
    </row>
    <row r="61" spans="1:4" ht="18" x14ac:dyDescent="0.35">
      <c r="A61" s="56"/>
      <c r="B61" s="46"/>
      <c r="C61" s="46"/>
      <c r="D61" s="58"/>
    </row>
    <row r="62" spans="1:4" ht="18" x14ac:dyDescent="0.35">
      <c r="A62" s="51" t="s">
        <v>133</v>
      </c>
      <c r="B62" s="60">
        <f>B57-B59-B60</f>
        <v>37895.557506526595</v>
      </c>
      <c r="C62" s="60">
        <f t="shared" ref="C62:D62" si="13">C57-C59-C60</f>
        <v>67307.358701032121</v>
      </c>
      <c r="D62" s="77">
        <f t="shared" si="13"/>
        <v>80509.818532444973</v>
      </c>
    </row>
    <row r="63" spans="1:4" ht="18" x14ac:dyDescent="0.35">
      <c r="A63" s="99"/>
      <c r="B63" s="97"/>
      <c r="C63" s="97"/>
      <c r="D63" s="98"/>
    </row>
    <row r="64" spans="1:4" ht="18" x14ac:dyDescent="0.35">
      <c r="A64" s="46"/>
      <c r="B64" s="46"/>
      <c r="C64" s="46"/>
      <c r="D64" s="46"/>
    </row>
    <row r="65" spans="1:4" ht="20.25" x14ac:dyDescent="0.3">
      <c r="A65" s="43" t="s">
        <v>141</v>
      </c>
      <c r="B65" s="38"/>
      <c r="C65" s="38"/>
      <c r="D65" s="38"/>
    </row>
    <row r="67" spans="1:4" ht="18" x14ac:dyDescent="0.35">
      <c r="A67" s="81"/>
      <c r="B67" s="82" t="s">
        <v>41</v>
      </c>
      <c r="C67" s="82" t="s">
        <v>42</v>
      </c>
      <c r="D67" s="92" t="s">
        <v>43</v>
      </c>
    </row>
    <row r="68" spans="1:4" ht="18" x14ac:dyDescent="0.35">
      <c r="A68" s="51" t="s">
        <v>86</v>
      </c>
      <c r="B68" s="84"/>
      <c r="C68" s="84"/>
      <c r="D68" s="52"/>
    </row>
    <row r="69" spans="1:4" ht="18" x14ac:dyDescent="0.35">
      <c r="A69" s="56"/>
      <c r="B69" s="178"/>
      <c r="C69" s="178"/>
      <c r="D69" s="85"/>
    </row>
    <row r="70" spans="1:4" ht="18" x14ac:dyDescent="0.35">
      <c r="A70" s="56" t="str">
        <f>A6</f>
        <v xml:space="preserve">Omzet </v>
      </c>
      <c r="B70" s="57">
        <f>B6</f>
        <v>113183.48623853209</v>
      </c>
      <c r="C70" s="57">
        <f>C6</f>
        <v>170298.16513761471</v>
      </c>
      <c r="D70" s="66">
        <f>D6</f>
        <v>197917.43119266059</v>
      </c>
    </row>
    <row r="71" spans="1:4" ht="15" x14ac:dyDescent="0.25">
      <c r="A71" s="4"/>
      <c r="B71" s="179"/>
      <c r="C71" s="179"/>
      <c r="D71" s="20"/>
    </row>
    <row r="72" spans="1:4" ht="18" x14ac:dyDescent="0.35">
      <c r="A72" s="51" t="s">
        <v>85</v>
      </c>
      <c r="B72" s="60">
        <f>SUM(B70:B71)</f>
        <v>113183.48623853209</v>
      </c>
      <c r="C72" s="60">
        <f>SUM(C70:C71)</f>
        <v>170298.16513761471</v>
      </c>
      <c r="D72" s="77">
        <f>SUM(D70:D71)</f>
        <v>197917.43119266059</v>
      </c>
    </row>
    <row r="73" spans="1:4" ht="18" x14ac:dyDescent="0.35">
      <c r="A73" s="56"/>
      <c r="B73" s="86"/>
      <c r="C73" s="86"/>
      <c r="D73" s="87"/>
    </row>
    <row r="74" spans="1:4" ht="18" x14ac:dyDescent="0.35">
      <c r="A74" s="51" t="s">
        <v>84</v>
      </c>
      <c r="B74" s="84"/>
      <c r="C74" s="84"/>
      <c r="D74" s="52"/>
    </row>
    <row r="75" spans="1:4" ht="18" x14ac:dyDescent="0.35">
      <c r="A75" s="56"/>
      <c r="B75" s="86"/>
      <c r="C75" s="86"/>
      <c r="D75" s="87"/>
    </row>
    <row r="76" spans="1:4" ht="18" x14ac:dyDescent="0.35">
      <c r="A76" s="88" t="str">
        <f>A12</f>
        <v>Werk derden (ZZP)</v>
      </c>
      <c r="B76" s="57">
        <f>B12</f>
        <v>0</v>
      </c>
      <c r="C76" s="57">
        <f>C12</f>
        <v>3465</v>
      </c>
      <c r="D76" s="66">
        <f>D12</f>
        <v>5670</v>
      </c>
    </row>
    <row r="77" spans="1:4" ht="15" x14ac:dyDescent="0.25">
      <c r="A77" s="89"/>
      <c r="B77" s="179"/>
      <c r="C77" s="179"/>
      <c r="D77" s="20"/>
    </row>
    <row r="78" spans="1:4" ht="18" x14ac:dyDescent="0.35">
      <c r="A78" s="51" t="s">
        <v>83</v>
      </c>
      <c r="B78" s="60">
        <f>SUM(B75:B77)</f>
        <v>0</v>
      </c>
      <c r="C78" s="60">
        <f>SUM(C75:C77)</f>
        <v>3465</v>
      </c>
      <c r="D78" s="77">
        <f>SUM(D75:D77)</f>
        <v>5670</v>
      </c>
    </row>
    <row r="79" spans="1:4" ht="18" x14ac:dyDescent="0.35">
      <c r="A79" s="56"/>
      <c r="B79" s="86"/>
      <c r="C79" s="86"/>
      <c r="D79" s="87"/>
    </row>
    <row r="80" spans="1:4" ht="18" x14ac:dyDescent="0.35">
      <c r="A80" s="51" t="s">
        <v>82</v>
      </c>
      <c r="B80" s="60">
        <f>B72-B78</f>
        <v>113183.48623853209</v>
      </c>
      <c r="C80" s="60">
        <f>C72-C78</f>
        <v>166833.16513761471</v>
      </c>
      <c r="D80" s="77">
        <f>D72-D78</f>
        <v>192247.43119266059</v>
      </c>
    </row>
    <row r="81" spans="1:4" ht="18" x14ac:dyDescent="0.35">
      <c r="A81" s="53" t="s">
        <v>81</v>
      </c>
      <c r="B81" s="180">
        <f>B80/B72</f>
        <v>1</v>
      </c>
      <c r="C81" s="180">
        <f>C80/C72</f>
        <v>0.97965333333333338</v>
      </c>
      <c r="D81" s="90">
        <f>D80/D72</f>
        <v>0.97135168961201501</v>
      </c>
    </row>
    <row r="82" spans="1:4" ht="18" x14ac:dyDescent="0.35">
      <c r="A82" s="56"/>
      <c r="B82" s="46"/>
      <c r="C82" s="46"/>
      <c r="D82" s="58"/>
    </row>
    <row r="83" spans="1:4" ht="18" x14ac:dyDescent="0.35">
      <c r="A83" s="51" t="s">
        <v>80</v>
      </c>
      <c r="B83" s="84"/>
      <c r="C83" s="84"/>
      <c r="D83" s="52"/>
    </row>
    <row r="84" spans="1:4" ht="15" x14ac:dyDescent="0.25">
      <c r="A84" s="4"/>
      <c r="B84" s="3"/>
      <c r="C84" s="3"/>
      <c r="D84" s="7"/>
    </row>
    <row r="85" spans="1:4" ht="18" x14ac:dyDescent="0.35">
      <c r="A85" s="56" t="str">
        <f>A21</f>
        <v>Inventaris- en kantoorkosten</v>
      </c>
      <c r="B85" s="57">
        <f>B28</f>
        <v>5500</v>
      </c>
      <c r="C85" s="57">
        <f>C28</f>
        <v>5820</v>
      </c>
      <c r="D85" s="66">
        <f>D28</f>
        <v>6141.4</v>
      </c>
    </row>
    <row r="86" spans="1:4" ht="18" x14ac:dyDescent="0.35">
      <c r="A86" s="56" t="str">
        <f>A30</f>
        <v>Huisvestingskosten</v>
      </c>
      <c r="B86" s="57">
        <f>B34</f>
        <v>36500</v>
      </c>
      <c r="C86" s="57">
        <f>C34</f>
        <v>37230</v>
      </c>
      <c r="D86" s="66">
        <f>D34</f>
        <v>37974.6</v>
      </c>
    </row>
    <row r="87" spans="1:4" ht="18" x14ac:dyDescent="0.35">
      <c r="A87" s="56" t="str">
        <f>A36</f>
        <v>Verkoopkosten</v>
      </c>
      <c r="B87" s="57">
        <f>B39</f>
        <v>7200</v>
      </c>
      <c r="C87" s="57">
        <f>C39</f>
        <v>9224</v>
      </c>
      <c r="D87" s="66">
        <f>D39</f>
        <v>11248.48</v>
      </c>
    </row>
    <row r="88" spans="1:4" ht="18" x14ac:dyDescent="0.35">
      <c r="A88" s="56" t="str">
        <f>A41</f>
        <v>Afschrijvingen</v>
      </c>
      <c r="B88" s="57">
        <f>B47</f>
        <v>10800</v>
      </c>
      <c r="C88" s="57">
        <f>C47</f>
        <v>10800</v>
      </c>
      <c r="D88" s="66">
        <f>D47</f>
        <v>10800</v>
      </c>
    </row>
    <row r="89" spans="1:4" ht="18" x14ac:dyDescent="0.35">
      <c r="A89" s="56" t="str">
        <f>A49</f>
        <v>Openings- en aanloopkosten</v>
      </c>
      <c r="B89" s="57">
        <f>B49</f>
        <v>2500</v>
      </c>
      <c r="C89" s="57">
        <f>C49</f>
        <v>0</v>
      </c>
      <c r="D89" s="66">
        <f>D49</f>
        <v>0</v>
      </c>
    </row>
    <row r="90" spans="1:4" ht="15" x14ac:dyDescent="0.25">
      <c r="A90" s="4"/>
      <c r="B90" s="3"/>
      <c r="C90" s="3"/>
      <c r="D90" s="7"/>
    </row>
    <row r="91" spans="1:4" ht="18" x14ac:dyDescent="0.35">
      <c r="A91" s="51" t="s">
        <v>75</v>
      </c>
      <c r="B91" s="60">
        <f>SUM(B85:B89)</f>
        <v>62500</v>
      </c>
      <c r="C91" s="60">
        <f>SUM(C85:C89)</f>
        <v>63074</v>
      </c>
      <c r="D91" s="77">
        <f>SUM(D85:D89)</f>
        <v>66164.479999999996</v>
      </c>
    </row>
    <row r="92" spans="1:4" ht="18" x14ac:dyDescent="0.35">
      <c r="A92" s="53"/>
      <c r="B92" s="181"/>
      <c r="C92" s="181"/>
      <c r="D92" s="96"/>
    </row>
    <row r="93" spans="1:4" ht="18" x14ac:dyDescent="0.35">
      <c r="A93" s="51" t="s">
        <v>74</v>
      </c>
      <c r="B93" s="60">
        <f>B80-B91</f>
        <v>50683.486238532088</v>
      </c>
      <c r="C93" s="60">
        <f>C80-C91</f>
        <v>103759.16513761471</v>
      </c>
      <c r="D93" s="77">
        <f>D80-D91</f>
        <v>126082.95119266059</v>
      </c>
    </row>
    <row r="94" spans="1:4" ht="18" x14ac:dyDescent="0.35">
      <c r="A94" s="56"/>
      <c r="B94" s="181"/>
      <c r="C94" s="181"/>
      <c r="D94" s="96"/>
    </row>
    <row r="95" spans="1:4" ht="18" x14ac:dyDescent="0.35">
      <c r="A95" s="56" t="s">
        <v>73</v>
      </c>
      <c r="B95" s="57">
        <f>B55</f>
        <v>4275.6250000000009</v>
      </c>
      <c r="C95" s="57">
        <f>C55</f>
        <v>2410.6249999999995</v>
      </c>
      <c r="D95" s="66">
        <f>D55</f>
        <v>1745.6250000000005</v>
      </c>
    </row>
    <row r="96" spans="1:4" ht="18" x14ac:dyDescent="0.35">
      <c r="A96" s="56"/>
      <c r="B96" s="181"/>
      <c r="C96" s="181"/>
      <c r="D96" s="96"/>
    </row>
    <row r="97" spans="1:4" ht="18" x14ac:dyDescent="0.35">
      <c r="A97" s="51" t="s">
        <v>72</v>
      </c>
      <c r="B97" s="60">
        <f>B93-B95</f>
        <v>46407.861238532088</v>
      </c>
      <c r="C97" s="60">
        <f>C93-C95</f>
        <v>101348.54013761471</v>
      </c>
      <c r="D97" s="77">
        <f>D93-D95</f>
        <v>124337.32619266059</v>
      </c>
    </row>
    <row r="98" spans="1:4" ht="18" x14ac:dyDescent="0.35">
      <c r="A98" s="56"/>
      <c r="B98" s="46"/>
      <c r="C98" s="46"/>
      <c r="D98" s="58"/>
    </row>
    <row r="99" spans="1:4" ht="18" x14ac:dyDescent="0.35">
      <c r="A99" s="56" t="str">
        <f t="shared" ref="A99:D100" si="14">A59</f>
        <v>IB/PH</v>
      </c>
      <c r="B99" s="57">
        <f t="shared" si="14"/>
        <v>6766.1683857554963</v>
      </c>
      <c r="C99" s="57">
        <f t="shared" si="14"/>
        <v>30922.181436582578</v>
      </c>
      <c r="D99" s="66">
        <f t="shared" si="14"/>
        <v>40708.507660215611</v>
      </c>
    </row>
    <row r="100" spans="1:4" ht="18" x14ac:dyDescent="0.35">
      <c r="A100" s="56" t="str">
        <f t="shared" si="14"/>
        <v>Zvw</v>
      </c>
      <c r="B100" s="57">
        <f t="shared" si="14"/>
        <v>1746.135346249999</v>
      </c>
      <c r="C100" s="57">
        <f t="shared" si="14"/>
        <v>3119</v>
      </c>
      <c r="D100" s="66">
        <f t="shared" si="14"/>
        <v>3119</v>
      </c>
    </row>
    <row r="101" spans="1:4" ht="18" x14ac:dyDescent="0.35">
      <c r="A101" s="56"/>
      <c r="B101" s="46"/>
      <c r="C101" s="46"/>
      <c r="D101" s="58"/>
    </row>
    <row r="102" spans="1:4" ht="18" x14ac:dyDescent="0.35">
      <c r="A102" s="51" t="s">
        <v>133</v>
      </c>
      <c r="B102" s="60">
        <f>B97-B99-B100</f>
        <v>37895.557506526595</v>
      </c>
      <c r="C102" s="60">
        <f t="shared" ref="C102:D102" si="15">C97-C99-C100</f>
        <v>67307.358701032121</v>
      </c>
      <c r="D102" s="77">
        <f t="shared" si="15"/>
        <v>80509.818532444973</v>
      </c>
    </row>
    <row r="103" spans="1:4" ht="18" x14ac:dyDescent="0.35">
      <c r="A103" s="99"/>
      <c r="B103" s="97"/>
      <c r="C103" s="97"/>
      <c r="D103" s="98"/>
    </row>
  </sheetData>
  <pageMargins left="0.74803149606299213" right="0.74803149606299213" top="0.98425196850393704" bottom="0.98425196850393704" header="0.51181102362204722" footer="0.51181102362204722"/>
  <pageSetup paperSize="9" scale="75" orientation="portrait" horizontalDpi="4294967293" verticalDpi="300" r:id="rId1"/>
  <ignoredErrors>
    <ignoredError sqref="C14:D14 C16:D17 B76:D78 B80:D8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2"/>
  <sheetViews>
    <sheetView zoomScale="110" zoomScaleNormal="110" zoomScalePageLayoutView="80" workbookViewId="0">
      <selection activeCell="A3" sqref="A3:M41"/>
    </sheetView>
  </sheetViews>
  <sheetFormatPr defaultColWidth="10.140625" defaultRowHeight="12.75" x14ac:dyDescent="0.2"/>
  <cols>
    <col min="1" max="1" width="52" style="1" bestFit="1" customWidth="1"/>
    <col min="2" max="13" width="9.85546875" style="1" customWidth="1"/>
    <col min="14" max="14" width="14.140625" style="1" hidden="1" customWidth="1"/>
    <col min="15" max="15" width="6.5703125" style="1" customWidth="1"/>
    <col min="16" max="16" width="21.85546875" style="1" bestFit="1" customWidth="1"/>
    <col min="17" max="16384" width="10.140625" style="1"/>
  </cols>
  <sheetData>
    <row r="1" spans="1:17" ht="34.5" customHeight="1" x14ac:dyDescent="0.55000000000000004">
      <c r="A1" s="44" t="s">
        <v>119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7" ht="15.75" customHeight="1" x14ac:dyDescent="0.35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7" ht="15.75" customHeight="1" x14ac:dyDescent="0.35">
      <c r="A3" s="81"/>
      <c r="B3" s="82">
        <v>1</v>
      </c>
      <c r="C3" s="82">
        <v>2</v>
      </c>
      <c r="D3" s="82">
        <v>3</v>
      </c>
      <c r="E3" s="82">
        <v>4</v>
      </c>
      <c r="F3" s="82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82">
        <v>11</v>
      </c>
      <c r="M3" s="92">
        <v>12</v>
      </c>
      <c r="O3" s="9"/>
      <c r="P3" s="142" t="s">
        <v>100</v>
      </c>
      <c r="Q3" s="143"/>
    </row>
    <row r="4" spans="1:17" ht="15.75" customHeight="1" x14ac:dyDescent="0.35">
      <c r="A4" s="51" t="s">
        <v>134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  <c r="P4" s="144" t="s">
        <v>99</v>
      </c>
      <c r="Q4" s="145">
        <f>Financiering!D20</f>
        <v>47500</v>
      </c>
    </row>
    <row r="5" spans="1:17" ht="15.75" customHeight="1" x14ac:dyDescent="0.35">
      <c r="A5" s="108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2"/>
      <c r="P5" s="144" t="s">
        <v>98</v>
      </c>
      <c r="Q5" s="145">
        <f>Q4/Financiering!G20</f>
        <v>2375</v>
      </c>
    </row>
    <row r="6" spans="1:17" s="37" customFormat="1" ht="15.6" customHeight="1" x14ac:dyDescent="0.35">
      <c r="A6" s="108" t="str">
        <f>Exploitatie!A6</f>
        <v xml:space="preserve">Omzet </v>
      </c>
      <c r="B6" s="111">
        <f>Exploitatie!G6*1.09</f>
        <v>4225</v>
      </c>
      <c r="C6" s="111">
        <f>Exploitatie!H6*1.09</f>
        <v>5915</v>
      </c>
      <c r="D6" s="111">
        <f>Exploitatie!I6*1.09</f>
        <v>7604.9999999999991</v>
      </c>
      <c r="E6" s="111">
        <f>Exploitatie!J6*1.09</f>
        <v>10140</v>
      </c>
      <c r="F6" s="111">
        <f>Exploitatie!K6*1.09</f>
        <v>10985</v>
      </c>
      <c r="G6" s="111">
        <f>Exploitatie!L6*1.09</f>
        <v>10985</v>
      </c>
      <c r="H6" s="111">
        <f>Exploitatie!M6*1.09</f>
        <v>11830</v>
      </c>
      <c r="I6" s="111">
        <f>Exploitatie!N6*1.09</f>
        <v>11830</v>
      </c>
      <c r="J6" s="111">
        <f>Exploitatie!O6*1.09</f>
        <v>11830</v>
      </c>
      <c r="K6" s="111">
        <f>Exploitatie!P6*1.09</f>
        <v>12675</v>
      </c>
      <c r="L6" s="111">
        <f>Exploitatie!Q6*1.09</f>
        <v>12675</v>
      </c>
      <c r="M6" s="112">
        <f>Exploitatie!R6*1.09</f>
        <v>12675</v>
      </c>
      <c r="N6" s="25">
        <f t="shared" ref="N6:N41" si="0">SUM(B6:M6)</f>
        <v>123370</v>
      </c>
      <c r="P6" s="146" t="s">
        <v>97</v>
      </c>
      <c r="Q6" s="147">
        <f>Financiering!E20</f>
        <v>7.0000000000000007E-2</v>
      </c>
    </row>
    <row r="7" spans="1:17" ht="15.75" customHeight="1" x14ac:dyDescent="0.25">
      <c r="A7" s="2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29"/>
      <c r="N7" s="25">
        <f t="shared" si="0"/>
        <v>0</v>
      </c>
      <c r="P7" s="36"/>
      <c r="Q7" s="32"/>
    </row>
    <row r="8" spans="1:17" ht="15.75" customHeight="1" x14ac:dyDescent="0.35">
      <c r="A8" s="108" t="s">
        <v>70</v>
      </c>
      <c r="B8" s="111">
        <f>Financiering!B10</f>
        <v>25000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2">
        <v>0</v>
      </c>
      <c r="N8" s="25">
        <f t="shared" si="0"/>
        <v>25000</v>
      </c>
      <c r="P8" s="36"/>
      <c r="Q8" s="32"/>
    </row>
    <row r="9" spans="1:17" ht="15.75" customHeight="1" x14ac:dyDescent="0.35">
      <c r="A9" s="108" t="s">
        <v>118</v>
      </c>
      <c r="B9" s="111">
        <f>Financiering!B22</f>
        <v>47500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2">
        <v>0</v>
      </c>
      <c r="N9" s="25">
        <f t="shared" si="0"/>
        <v>47500</v>
      </c>
      <c r="P9" s="36"/>
      <c r="Q9" s="32"/>
    </row>
    <row r="10" spans="1:17" ht="15.75" customHeight="1" x14ac:dyDescent="0.35">
      <c r="A10" s="108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  <c r="N10" s="25">
        <f t="shared" si="0"/>
        <v>0</v>
      </c>
      <c r="P10" s="32"/>
      <c r="Q10" s="32"/>
    </row>
    <row r="11" spans="1:17" s="34" customFormat="1" ht="15.75" customHeight="1" x14ac:dyDescent="0.35">
      <c r="A11" s="51" t="s">
        <v>117</v>
      </c>
      <c r="B11" s="113">
        <f t="shared" ref="B11:M11" si="1">SUM(B6:B10)</f>
        <v>76725</v>
      </c>
      <c r="C11" s="113">
        <f t="shared" si="1"/>
        <v>5915</v>
      </c>
      <c r="D11" s="113">
        <f t="shared" si="1"/>
        <v>7604.9999999999991</v>
      </c>
      <c r="E11" s="113">
        <f t="shared" si="1"/>
        <v>10140</v>
      </c>
      <c r="F11" s="113">
        <f t="shared" si="1"/>
        <v>10985</v>
      </c>
      <c r="G11" s="113">
        <f t="shared" si="1"/>
        <v>10985</v>
      </c>
      <c r="H11" s="113">
        <f t="shared" si="1"/>
        <v>11830</v>
      </c>
      <c r="I11" s="113">
        <f t="shared" si="1"/>
        <v>11830</v>
      </c>
      <c r="J11" s="113">
        <f t="shared" si="1"/>
        <v>11830</v>
      </c>
      <c r="K11" s="113">
        <f t="shared" si="1"/>
        <v>12675</v>
      </c>
      <c r="L11" s="113">
        <f t="shared" si="1"/>
        <v>12675</v>
      </c>
      <c r="M11" s="114">
        <f t="shared" si="1"/>
        <v>12675</v>
      </c>
      <c r="N11" s="25">
        <f t="shared" si="0"/>
        <v>195870</v>
      </c>
      <c r="P11" s="35"/>
      <c r="Q11" s="35"/>
    </row>
    <row r="12" spans="1:17" ht="15.75" customHeight="1" x14ac:dyDescent="0.25">
      <c r="A12" s="28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6"/>
      <c r="N12" s="25">
        <f t="shared" si="0"/>
        <v>0</v>
      </c>
      <c r="P12" s="32"/>
      <c r="Q12" s="32"/>
    </row>
    <row r="13" spans="1:17" ht="15.75" customHeight="1" x14ac:dyDescent="0.35">
      <c r="A13" s="51" t="s">
        <v>135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4"/>
      <c r="N13" s="1">
        <f t="shared" si="0"/>
        <v>0</v>
      </c>
      <c r="P13" s="41"/>
      <c r="Q13" s="32"/>
    </row>
    <row r="14" spans="1:17" ht="15.75" customHeight="1" x14ac:dyDescent="0.3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25">
        <f t="shared" si="0"/>
        <v>0</v>
      </c>
      <c r="P14" s="32"/>
      <c r="Q14" s="32"/>
    </row>
    <row r="15" spans="1:17" ht="15.75" customHeight="1" x14ac:dyDescent="0.35">
      <c r="A15" s="119" t="s">
        <v>116</v>
      </c>
      <c r="B15" s="120">
        <f>Investering!B25-Investering!B21</f>
        <v>77440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1">
        <v>0</v>
      </c>
      <c r="N15" s="25">
        <f t="shared" si="0"/>
        <v>77440</v>
      </c>
      <c r="P15" s="32"/>
      <c r="Q15" s="32"/>
    </row>
    <row r="16" spans="1:17" ht="15.75" customHeight="1" x14ac:dyDescent="0.35">
      <c r="A16" s="122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1"/>
      <c r="N16" s="25">
        <f t="shared" si="0"/>
        <v>0</v>
      </c>
      <c r="P16" s="32"/>
      <c r="Q16" s="32"/>
    </row>
    <row r="17" spans="1:17" ht="15.75" customHeight="1" x14ac:dyDescent="0.35">
      <c r="A17" s="119" t="str">
        <f>Exploitatie!A12</f>
        <v>Werk derden (ZZP)</v>
      </c>
      <c r="B17" s="120">
        <f>Exploitatie!$B$12/12*1.09</f>
        <v>0</v>
      </c>
      <c r="C17" s="120">
        <f>Exploitatie!$B$12/12*1.09</f>
        <v>0</v>
      </c>
      <c r="D17" s="120">
        <f>Exploitatie!$B$12/12*1.09</f>
        <v>0</v>
      </c>
      <c r="E17" s="120">
        <f>Exploitatie!$B$12/12*1.09</f>
        <v>0</v>
      </c>
      <c r="F17" s="120">
        <f>Exploitatie!$B$12/12*1.09</f>
        <v>0</v>
      </c>
      <c r="G17" s="120">
        <f>Exploitatie!$B$12/12*1.09</f>
        <v>0</v>
      </c>
      <c r="H17" s="120">
        <f>Exploitatie!$B$12/12*1.09</f>
        <v>0</v>
      </c>
      <c r="I17" s="120">
        <f>Exploitatie!$B$12/12*1.09</f>
        <v>0</v>
      </c>
      <c r="J17" s="120">
        <f>Exploitatie!$B$12/12*1.09</f>
        <v>0</v>
      </c>
      <c r="K17" s="120">
        <f>Exploitatie!$B$12/12*1.09</f>
        <v>0</v>
      </c>
      <c r="L17" s="120">
        <f>Exploitatie!$B$12/12*1.09</f>
        <v>0</v>
      </c>
      <c r="M17" s="121">
        <f>Exploitatie!$B$12/12*1.09</f>
        <v>0</v>
      </c>
      <c r="N17" s="25">
        <f t="shared" si="0"/>
        <v>0</v>
      </c>
      <c r="P17" s="33"/>
      <c r="Q17" s="32"/>
    </row>
    <row r="18" spans="1:17" ht="15.75" customHeight="1" x14ac:dyDescent="0.35">
      <c r="A18" s="122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  <c r="N18" s="25">
        <f t="shared" si="0"/>
        <v>0</v>
      </c>
      <c r="P18" s="33"/>
      <c r="Q18" s="32"/>
    </row>
    <row r="19" spans="1:17" ht="15.75" customHeight="1" x14ac:dyDescent="0.35">
      <c r="A19" s="119" t="s">
        <v>115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4"/>
      <c r="N19" s="25">
        <f t="shared" si="0"/>
        <v>0</v>
      </c>
      <c r="P19" s="33"/>
      <c r="Q19" s="32"/>
    </row>
    <row r="20" spans="1:17" ht="15.75" customHeight="1" x14ac:dyDescent="0.35">
      <c r="A20" s="108" t="str">
        <f>Exploitatie!A85</f>
        <v>Inventaris- en kantoorkosten</v>
      </c>
      <c r="B20" s="120">
        <f>Exploitatie!$B$85/12*1.21</f>
        <v>554.58333333333326</v>
      </c>
      <c r="C20" s="120">
        <f>Exploitatie!$B$85/12*1.21</f>
        <v>554.58333333333326</v>
      </c>
      <c r="D20" s="120">
        <f>Exploitatie!$B$85/12*1.21</f>
        <v>554.58333333333326</v>
      </c>
      <c r="E20" s="120">
        <f>Exploitatie!$B$85/12*1.21</f>
        <v>554.58333333333326</v>
      </c>
      <c r="F20" s="120">
        <f>Exploitatie!$B$85/12*1.21</f>
        <v>554.58333333333326</v>
      </c>
      <c r="G20" s="120">
        <f>Exploitatie!$B$85/12*1.21</f>
        <v>554.58333333333326</v>
      </c>
      <c r="H20" s="120">
        <f>Exploitatie!$B$85/12*1.21</f>
        <v>554.58333333333326</v>
      </c>
      <c r="I20" s="120">
        <f>Exploitatie!$B$85/12*1.21</f>
        <v>554.58333333333326</v>
      </c>
      <c r="J20" s="120">
        <f>Exploitatie!$B$85/12*1.21</f>
        <v>554.58333333333326</v>
      </c>
      <c r="K20" s="120">
        <f>Exploitatie!$B$85/12*1.21</f>
        <v>554.58333333333326</v>
      </c>
      <c r="L20" s="120">
        <f>Exploitatie!$B$85/12*1.21</f>
        <v>554.58333333333326</v>
      </c>
      <c r="M20" s="121">
        <f>Exploitatie!$B$85/12*1.21</f>
        <v>554.58333333333326</v>
      </c>
      <c r="N20" s="25">
        <f t="shared" si="0"/>
        <v>6654.9999999999973</v>
      </c>
      <c r="P20" s="32"/>
      <c r="Q20" s="32"/>
    </row>
    <row r="21" spans="1:17" ht="15.75" customHeight="1" x14ac:dyDescent="0.35">
      <c r="A21" s="108" t="str">
        <f>Exploitatie!A86</f>
        <v>Huisvestingskosten</v>
      </c>
      <c r="B21" s="120">
        <f>Exploitatie!$B$86/12*1.21</f>
        <v>3680.4166666666665</v>
      </c>
      <c r="C21" s="120">
        <f>Exploitatie!$B$86/12*1.21</f>
        <v>3680.4166666666665</v>
      </c>
      <c r="D21" s="120">
        <f>Exploitatie!$B$86/12*1.21</f>
        <v>3680.4166666666665</v>
      </c>
      <c r="E21" s="120">
        <f>Exploitatie!$B$86/12*1.21</f>
        <v>3680.4166666666665</v>
      </c>
      <c r="F21" s="120">
        <f>Exploitatie!$B$86/12*1.21</f>
        <v>3680.4166666666665</v>
      </c>
      <c r="G21" s="120">
        <f>Exploitatie!$B$86/12*1.21</f>
        <v>3680.4166666666665</v>
      </c>
      <c r="H21" s="120">
        <f>Exploitatie!$B$86/12*1.21</f>
        <v>3680.4166666666665</v>
      </c>
      <c r="I21" s="120">
        <f>Exploitatie!$B$86/12*1.21</f>
        <v>3680.4166666666665</v>
      </c>
      <c r="J21" s="120">
        <f>Exploitatie!$B$86/12*1.21</f>
        <v>3680.4166666666665</v>
      </c>
      <c r="K21" s="120">
        <f>Exploitatie!$B$86/12*1.21</f>
        <v>3680.4166666666665</v>
      </c>
      <c r="L21" s="120">
        <f>Exploitatie!$B$86/12*1.21</f>
        <v>3680.4166666666665</v>
      </c>
      <c r="M21" s="121">
        <f>Exploitatie!$B$86/12*1.21</f>
        <v>3680.4166666666665</v>
      </c>
      <c r="N21" s="25">
        <f t="shared" si="0"/>
        <v>44164.999999999993</v>
      </c>
      <c r="P21" s="32"/>
      <c r="Q21" s="32"/>
    </row>
    <row r="22" spans="1:17" ht="15.75" customHeight="1" x14ac:dyDescent="0.35">
      <c r="A22" s="108" t="str">
        <f>Exploitatie!A87</f>
        <v>Verkoopkosten</v>
      </c>
      <c r="B22" s="120">
        <f>Exploitatie!$B$87/12*1.21</f>
        <v>726</v>
      </c>
      <c r="C22" s="120">
        <f>Exploitatie!$B$87/12*1.21</f>
        <v>726</v>
      </c>
      <c r="D22" s="120">
        <f>Exploitatie!$B$87/12*1.21</f>
        <v>726</v>
      </c>
      <c r="E22" s="120">
        <f>Exploitatie!$B$87/12*1.21</f>
        <v>726</v>
      </c>
      <c r="F22" s="120">
        <f>Exploitatie!$B$87/12*1.21</f>
        <v>726</v>
      </c>
      <c r="G22" s="120">
        <f>Exploitatie!$B$87/12*1.21</f>
        <v>726</v>
      </c>
      <c r="H22" s="120">
        <f>Exploitatie!$B$87/12*1.21</f>
        <v>726</v>
      </c>
      <c r="I22" s="120">
        <f>Exploitatie!$B$87/12*1.21</f>
        <v>726</v>
      </c>
      <c r="J22" s="120">
        <f>Exploitatie!$B$87/12*1.21</f>
        <v>726</v>
      </c>
      <c r="K22" s="120">
        <f>Exploitatie!$B$87/12*1.21</f>
        <v>726</v>
      </c>
      <c r="L22" s="120">
        <f>Exploitatie!$B$87/12*1.21</f>
        <v>726</v>
      </c>
      <c r="M22" s="121">
        <f>Exploitatie!$B$87/12*1.21</f>
        <v>726</v>
      </c>
      <c r="N22" s="25">
        <f t="shared" si="0"/>
        <v>8712</v>
      </c>
      <c r="P22" s="32"/>
      <c r="Q22" s="32"/>
    </row>
    <row r="23" spans="1:17" ht="15.75" customHeight="1" x14ac:dyDescent="0.35">
      <c r="A23" s="108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1"/>
      <c r="N23" s="25">
        <f t="shared" si="0"/>
        <v>0</v>
      </c>
      <c r="P23" s="32"/>
      <c r="Q23" s="32"/>
    </row>
    <row r="24" spans="1:17" ht="15.75" customHeight="1" x14ac:dyDescent="0.35">
      <c r="A24" s="125" t="s">
        <v>114</v>
      </c>
      <c r="B24" s="120">
        <v>1750</v>
      </c>
      <c r="C24" s="120">
        <v>1750</v>
      </c>
      <c r="D24" s="120">
        <v>1750</v>
      </c>
      <c r="E24" s="120">
        <v>2000</v>
      </c>
      <c r="F24" s="120">
        <v>2000</v>
      </c>
      <c r="G24" s="120">
        <v>2000</v>
      </c>
      <c r="H24" s="120">
        <v>2000</v>
      </c>
      <c r="I24" s="120">
        <v>2000</v>
      </c>
      <c r="J24" s="120">
        <v>2000</v>
      </c>
      <c r="K24" s="120">
        <v>2000</v>
      </c>
      <c r="L24" s="120">
        <v>2000</v>
      </c>
      <c r="M24" s="121">
        <v>2000</v>
      </c>
      <c r="N24" s="25">
        <f t="shared" si="0"/>
        <v>23250</v>
      </c>
    </row>
    <row r="25" spans="1:17" ht="15.75" customHeight="1" x14ac:dyDescent="0.35">
      <c r="A25" s="108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1"/>
      <c r="N25" s="25">
        <f t="shared" si="0"/>
        <v>0</v>
      </c>
      <c r="P25" s="32"/>
      <c r="Q25" s="32"/>
    </row>
    <row r="26" spans="1:17" ht="15.75" customHeight="1" x14ac:dyDescent="0.35">
      <c r="A26" s="125" t="s">
        <v>113</v>
      </c>
      <c r="B26" s="120"/>
      <c r="C26" s="120"/>
      <c r="D26" s="120"/>
      <c r="E26" s="126"/>
      <c r="F26" s="120"/>
      <c r="G26" s="120"/>
      <c r="H26" s="120"/>
      <c r="I26" s="120"/>
      <c r="J26" s="120"/>
      <c r="K26" s="120"/>
      <c r="L26" s="120"/>
      <c r="M26" s="121"/>
      <c r="N26" s="25">
        <f t="shared" si="0"/>
        <v>0</v>
      </c>
    </row>
    <row r="27" spans="1:17" ht="15.75" customHeight="1" x14ac:dyDescent="0.35">
      <c r="A27" s="108" t="s">
        <v>112</v>
      </c>
      <c r="B27" s="120">
        <v>0</v>
      </c>
      <c r="C27" s="120">
        <v>0</v>
      </c>
      <c r="D27" s="120">
        <f>Q5</f>
        <v>2375</v>
      </c>
      <c r="E27" s="120">
        <v>0</v>
      </c>
      <c r="F27" s="120">
        <v>0</v>
      </c>
      <c r="G27" s="120">
        <f>Q5</f>
        <v>2375</v>
      </c>
      <c r="H27" s="120">
        <v>0</v>
      </c>
      <c r="I27" s="120">
        <v>0</v>
      </c>
      <c r="J27" s="120">
        <f>Q5</f>
        <v>2375</v>
      </c>
      <c r="K27" s="120">
        <v>0</v>
      </c>
      <c r="L27" s="120">
        <v>0</v>
      </c>
      <c r="M27" s="121">
        <f>Q5</f>
        <v>2375</v>
      </c>
      <c r="N27" s="25">
        <f t="shared" si="0"/>
        <v>9500</v>
      </c>
    </row>
    <row r="28" spans="1:17" ht="15.75" customHeight="1" x14ac:dyDescent="0.35">
      <c r="A28" s="108" t="s">
        <v>111</v>
      </c>
      <c r="B28" s="120">
        <f>(($Q4-0*$Q5)*$Q6)/12</f>
        <v>277.08333333333337</v>
      </c>
      <c r="C28" s="120">
        <f>(($Q4-0*$Q5)*$Q6)/12</f>
        <v>277.08333333333337</v>
      </c>
      <c r="D28" s="120">
        <f>(($Q4-0*$Q5)*$Q6)/12</f>
        <v>277.08333333333337</v>
      </c>
      <c r="E28" s="120">
        <f>(($Q4-1*$Q5)*$Q6)/12</f>
        <v>263.22916666666669</v>
      </c>
      <c r="F28" s="120">
        <f>(($Q4-1*$Q5)*$Q6)/12</f>
        <v>263.22916666666669</v>
      </c>
      <c r="G28" s="120">
        <f>(($Q4-1*$Q5)*$Q6)/12</f>
        <v>263.22916666666669</v>
      </c>
      <c r="H28" s="120">
        <f>(($Q4-2*$Q5)*$Q6)/12</f>
        <v>249.37500000000003</v>
      </c>
      <c r="I28" s="120">
        <f>(($Q4-2*$Q5)*$Q6)/12</f>
        <v>249.37500000000003</v>
      </c>
      <c r="J28" s="120">
        <f>(($Q4-2*$Q5)*$Q6)/12</f>
        <v>249.37500000000003</v>
      </c>
      <c r="K28" s="120">
        <f>(($Q4-3*$Q5)*$Q6)/12</f>
        <v>235.52083333333337</v>
      </c>
      <c r="L28" s="120">
        <f>(($Q4-3*$Q5)*$Q6)/12</f>
        <v>235.52083333333337</v>
      </c>
      <c r="M28" s="121">
        <f>(($Q4-3*$Q5)*$Q6)/12</f>
        <v>235.52083333333337</v>
      </c>
      <c r="N28" s="25">
        <f t="shared" si="0"/>
        <v>3075.6250000000009</v>
      </c>
    </row>
    <row r="29" spans="1:17" ht="15.75" customHeight="1" x14ac:dyDescent="0.35">
      <c r="A29" s="108" t="s">
        <v>110</v>
      </c>
      <c r="B29" s="120">
        <f>(Financiering!$E$14*Financiering!$D$14)/12</f>
        <v>100</v>
      </c>
      <c r="C29" s="120">
        <f>(Financiering!$E$14*Financiering!$D$14)/12</f>
        <v>100</v>
      </c>
      <c r="D29" s="120">
        <f>(Financiering!$E$14*Financiering!$D$14)/12</f>
        <v>100</v>
      </c>
      <c r="E29" s="120">
        <f>(Financiering!$E$14*Financiering!$D$14)/12</f>
        <v>100</v>
      </c>
      <c r="F29" s="120">
        <f>(Financiering!$E$14*Financiering!$D$14)/12</f>
        <v>100</v>
      </c>
      <c r="G29" s="120">
        <f>(Financiering!$E$14*Financiering!$D$14)/12</f>
        <v>100</v>
      </c>
      <c r="H29" s="120">
        <f>(Financiering!$E$14*Financiering!$D$14)/12</f>
        <v>100</v>
      </c>
      <c r="I29" s="120">
        <f>(Financiering!$E$14*Financiering!$D$14)/12</f>
        <v>100</v>
      </c>
      <c r="J29" s="120">
        <f>(Financiering!$E$14*Financiering!$D$14)/12</f>
        <v>100</v>
      </c>
      <c r="K29" s="120">
        <f>(Financiering!$E$14*Financiering!$D$14)/12</f>
        <v>100</v>
      </c>
      <c r="L29" s="120">
        <f>(Financiering!$E$14*Financiering!$D$14)/12</f>
        <v>100</v>
      </c>
      <c r="M29" s="121">
        <f>(Financiering!$E$14*Financiering!$D$14)/12</f>
        <v>100</v>
      </c>
      <c r="N29" s="25">
        <f t="shared" si="0"/>
        <v>1200</v>
      </c>
    </row>
    <row r="30" spans="1:17" ht="15.75" customHeight="1" x14ac:dyDescent="0.35">
      <c r="A30" s="108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  <c r="N30" s="25">
        <f t="shared" si="0"/>
        <v>0</v>
      </c>
    </row>
    <row r="31" spans="1:17" ht="15.75" customHeight="1" x14ac:dyDescent="0.35">
      <c r="A31" s="125" t="s">
        <v>109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1"/>
      <c r="N31" s="25">
        <f t="shared" si="0"/>
        <v>0</v>
      </c>
    </row>
    <row r="32" spans="1:17" ht="15.75" customHeight="1" x14ac:dyDescent="0.35">
      <c r="A32" s="108" t="str">
        <f>Exploitatie!A59</f>
        <v>IB/PH</v>
      </c>
      <c r="B32" s="120">
        <f>Exploitatie!$B$59/12</f>
        <v>563.84736547962473</v>
      </c>
      <c r="C32" s="120">
        <f>Exploitatie!$B$59/12</f>
        <v>563.84736547962473</v>
      </c>
      <c r="D32" s="120">
        <f>Exploitatie!$B$59/12</f>
        <v>563.84736547962473</v>
      </c>
      <c r="E32" s="120">
        <f>Exploitatie!$B$59/12</f>
        <v>563.84736547962473</v>
      </c>
      <c r="F32" s="120">
        <f>Exploitatie!$B$59/12</f>
        <v>563.84736547962473</v>
      </c>
      <c r="G32" s="120">
        <f>Exploitatie!$B$59/12</f>
        <v>563.84736547962473</v>
      </c>
      <c r="H32" s="120">
        <f>Exploitatie!$B$59/12</f>
        <v>563.84736547962473</v>
      </c>
      <c r="I32" s="120">
        <f>Exploitatie!$B$59/12</f>
        <v>563.84736547962473</v>
      </c>
      <c r="J32" s="120">
        <f>Exploitatie!$B$59/12</f>
        <v>563.84736547962473</v>
      </c>
      <c r="K32" s="120">
        <f>Exploitatie!$B$59/12</f>
        <v>563.84736547962473</v>
      </c>
      <c r="L32" s="120">
        <f>Exploitatie!$B$59/12</f>
        <v>563.84736547962473</v>
      </c>
      <c r="M32" s="121">
        <f>Exploitatie!$B$59/12</f>
        <v>563.84736547962473</v>
      </c>
      <c r="N32" s="25">
        <f t="shared" si="0"/>
        <v>6766.1683857554954</v>
      </c>
    </row>
    <row r="33" spans="1:14" ht="15.75" customHeight="1" x14ac:dyDescent="0.35">
      <c r="A33" s="108" t="str">
        <f>Exploitatie!A60</f>
        <v>Zvw</v>
      </c>
      <c r="B33" s="120">
        <f>Exploitatie!$B$60/12</f>
        <v>145.51127885416659</v>
      </c>
      <c r="C33" s="120">
        <f>Exploitatie!$B$60/12</f>
        <v>145.51127885416659</v>
      </c>
      <c r="D33" s="120">
        <f>Exploitatie!$B$60/12</f>
        <v>145.51127885416659</v>
      </c>
      <c r="E33" s="120">
        <f>Exploitatie!$B$60/12</f>
        <v>145.51127885416659</v>
      </c>
      <c r="F33" s="120">
        <f>Exploitatie!$B$60/12</f>
        <v>145.51127885416659</v>
      </c>
      <c r="G33" s="120">
        <f>Exploitatie!$B$60/12</f>
        <v>145.51127885416659</v>
      </c>
      <c r="H33" s="120">
        <f>Exploitatie!$B$60/12</f>
        <v>145.51127885416659</v>
      </c>
      <c r="I33" s="120">
        <f>Exploitatie!$B$60/12</f>
        <v>145.51127885416659</v>
      </c>
      <c r="J33" s="120">
        <f>Exploitatie!$B$60/12</f>
        <v>145.51127885416659</v>
      </c>
      <c r="K33" s="120">
        <f>Exploitatie!$B$60/12</f>
        <v>145.51127885416659</v>
      </c>
      <c r="L33" s="120">
        <f>Exploitatie!$B$60/12</f>
        <v>145.51127885416659</v>
      </c>
      <c r="M33" s="121">
        <f>Exploitatie!$B$60/12</f>
        <v>145.51127885416659</v>
      </c>
      <c r="N33" s="25">
        <f t="shared" si="0"/>
        <v>1746.1353462499994</v>
      </c>
    </row>
    <row r="34" spans="1:14" ht="15.75" customHeight="1" x14ac:dyDescent="0.35">
      <c r="A34" s="108" t="s">
        <v>108</v>
      </c>
      <c r="B34" s="111">
        <v>0</v>
      </c>
      <c r="C34" s="111">
        <v>0</v>
      </c>
      <c r="D34" s="111">
        <v>0</v>
      </c>
      <c r="E34" s="111">
        <f>SUM(B46:D46)</f>
        <v>-14557.814711650002</v>
      </c>
      <c r="F34" s="111">
        <v>0</v>
      </c>
      <c r="G34" s="111">
        <v>0</v>
      </c>
      <c r="H34" s="111">
        <f>SUM(E46:G46)</f>
        <v>68.284772000000203</v>
      </c>
      <c r="I34" s="111">
        <v>0</v>
      </c>
      <c r="J34" s="111">
        <v>0</v>
      </c>
      <c r="K34" s="111">
        <f>SUM(H46:J46)</f>
        <v>347.36734980000017</v>
      </c>
      <c r="L34" s="111">
        <v>0</v>
      </c>
      <c r="M34" s="112">
        <v>0</v>
      </c>
      <c r="N34" s="25">
        <f t="shared" si="0"/>
        <v>-14142.162589850001</v>
      </c>
    </row>
    <row r="35" spans="1:14" ht="15.75" customHeight="1" x14ac:dyDescent="0.25">
      <c r="A35" s="2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6"/>
      <c r="N35" s="25">
        <f t="shared" si="0"/>
        <v>0</v>
      </c>
    </row>
    <row r="36" spans="1:14" ht="15.75" customHeight="1" x14ac:dyDescent="0.35">
      <c r="A36" s="51" t="s">
        <v>107</v>
      </c>
      <c r="B36" s="113">
        <f t="shared" ref="B36:M36" si="2">SUM(B15:B35)</f>
        <v>85237.441977667128</v>
      </c>
      <c r="C36" s="113">
        <f t="shared" si="2"/>
        <v>7797.4419776671239</v>
      </c>
      <c r="D36" s="113">
        <f t="shared" si="2"/>
        <v>10172.441977667126</v>
      </c>
      <c r="E36" s="113">
        <f t="shared" si="2"/>
        <v>-6524.2269006495444</v>
      </c>
      <c r="F36" s="113">
        <f t="shared" si="2"/>
        <v>8033.5878110004578</v>
      </c>
      <c r="G36" s="113">
        <f t="shared" si="2"/>
        <v>10408.587811000458</v>
      </c>
      <c r="H36" s="113">
        <f t="shared" si="2"/>
        <v>8088.0184163337908</v>
      </c>
      <c r="I36" s="113">
        <f t="shared" si="2"/>
        <v>8019.7336443337908</v>
      </c>
      <c r="J36" s="113">
        <f t="shared" si="2"/>
        <v>10394.733644333792</v>
      </c>
      <c r="K36" s="113">
        <f t="shared" si="2"/>
        <v>8353.2468274671246</v>
      </c>
      <c r="L36" s="113">
        <f t="shared" si="2"/>
        <v>8005.8794776671239</v>
      </c>
      <c r="M36" s="114">
        <f t="shared" si="2"/>
        <v>10380.879477667126</v>
      </c>
      <c r="N36" s="25">
        <f t="shared" si="0"/>
        <v>168367.76614215548</v>
      </c>
    </row>
    <row r="37" spans="1:14" ht="15.75" customHeight="1" x14ac:dyDescent="0.35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87"/>
      <c r="N37" s="25">
        <f t="shared" si="0"/>
        <v>0</v>
      </c>
    </row>
    <row r="38" spans="1:14" ht="15.75" customHeight="1" x14ac:dyDescent="0.35">
      <c r="A38" s="108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30"/>
      <c r="N38" s="25">
        <f t="shared" si="0"/>
        <v>0</v>
      </c>
    </row>
    <row r="39" spans="1:14" ht="15.75" customHeight="1" x14ac:dyDescent="0.35">
      <c r="A39" s="131" t="s">
        <v>106</v>
      </c>
      <c r="B39" s="132">
        <v>0</v>
      </c>
      <c r="C39" s="132">
        <f t="shared" ref="C39:M39" si="3">B41</f>
        <v>-8512.4419776671275</v>
      </c>
      <c r="D39" s="132">
        <f t="shared" si="3"/>
        <v>-10394.883955334251</v>
      </c>
      <c r="E39" s="132">
        <f t="shared" si="3"/>
        <v>-12962.325933001379</v>
      </c>
      <c r="F39" s="132">
        <f t="shared" si="3"/>
        <v>3701.9009676481655</v>
      </c>
      <c r="G39" s="132">
        <f t="shared" si="3"/>
        <v>6653.3131566477077</v>
      </c>
      <c r="H39" s="132">
        <f t="shared" si="3"/>
        <v>7229.7253456472499</v>
      </c>
      <c r="I39" s="132">
        <f t="shared" si="3"/>
        <v>10971.706929313459</v>
      </c>
      <c r="J39" s="132">
        <f t="shared" si="3"/>
        <v>14781.973284979667</v>
      </c>
      <c r="K39" s="132">
        <f t="shared" si="3"/>
        <v>16217.239640645876</v>
      </c>
      <c r="L39" s="132">
        <f t="shared" si="3"/>
        <v>20538.992813178753</v>
      </c>
      <c r="M39" s="112">
        <f t="shared" si="3"/>
        <v>25208.113335511629</v>
      </c>
      <c r="N39" s="25">
        <f t="shared" si="0"/>
        <v>73433.313607569755</v>
      </c>
    </row>
    <row r="40" spans="1:14" ht="15.75" customHeight="1" x14ac:dyDescent="0.35">
      <c r="A40" s="133" t="s">
        <v>105</v>
      </c>
      <c r="B40" s="134">
        <f t="shared" ref="B40:M40" si="4">B11-B36</f>
        <v>-8512.4419776671275</v>
      </c>
      <c r="C40" s="134">
        <f t="shared" si="4"/>
        <v>-1882.4419776671239</v>
      </c>
      <c r="D40" s="134">
        <f t="shared" si="4"/>
        <v>-2567.4419776671266</v>
      </c>
      <c r="E40" s="134">
        <f t="shared" si="4"/>
        <v>16664.226900649544</v>
      </c>
      <c r="F40" s="134">
        <f t="shared" si="4"/>
        <v>2951.4121889995422</v>
      </c>
      <c r="G40" s="134">
        <f t="shared" si="4"/>
        <v>576.4121889995422</v>
      </c>
      <c r="H40" s="134">
        <f t="shared" si="4"/>
        <v>3741.9815836662092</v>
      </c>
      <c r="I40" s="134">
        <f t="shared" si="4"/>
        <v>3810.2663556662092</v>
      </c>
      <c r="J40" s="134">
        <f t="shared" si="4"/>
        <v>1435.2663556662083</v>
      </c>
      <c r="K40" s="134">
        <f t="shared" si="4"/>
        <v>4321.7531725328754</v>
      </c>
      <c r="L40" s="134">
        <f t="shared" si="4"/>
        <v>4669.1205223328761</v>
      </c>
      <c r="M40" s="135">
        <f t="shared" si="4"/>
        <v>2294.1205223328743</v>
      </c>
      <c r="N40" s="25">
        <f t="shared" si="0"/>
        <v>27502.233857844505</v>
      </c>
    </row>
    <row r="41" spans="1:14" ht="15.75" customHeight="1" x14ac:dyDescent="0.35">
      <c r="A41" s="136" t="s">
        <v>104</v>
      </c>
      <c r="B41" s="137">
        <f t="shared" ref="B41:M41" si="5">B39+B40</f>
        <v>-8512.4419776671275</v>
      </c>
      <c r="C41" s="137">
        <f t="shared" si="5"/>
        <v>-10394.883955334251</v>
      </c>
      <c r="D41" s="137">
        <f t="shared" si="5"/>
        <v>-12962.325933001379</v>
      </c>
      <c r="E41" s="137">
        <f t="shared" si="5"/>
        <v>3701.9009676481655</v>
      </c>
      <c r="F41" s="137">
        <f t="shared" si="5"/>
        <v>6653.3131566477077</v>
      </c>
      <c r="G41" s="137">
        <f t="shared" si="5"/>
        <v>7229.7253456472499</v>
      </c>
      <c r="H41" s="137">
        <f t="shared" si="5"/>
        <v>10971.706929313459</v>
      </c>
      <c r="I41" s="137">
        <f t="shared" si="5"/>
        <v>14781.973284979667</v>
      </c>
      <c r="J41" s="137">
        <f t="shared" si="5"/>
        <v>16217.239640645876</v>
      </c>
      <c r="K41" s="137">
        <f t="shared" si="5"/>
        <v>20538.992813178753</v>
      </c>
      <c r="L41" s="137">
        <f t="shared" si="5"/>
        <v>25208.113335511629</v>
      </c>
      <c r="M41" s="138">
        <f t="shared" si="5"/>
        <v>27502.233857844505</v>
      </c>
      <c r="N41" s="25">
        <f t="shared" si="0"/>
        <v>100935.54746541426</v>
      </c>
    </row>
    <row r="42" spans="1:14" ht="15.75" customHeight="1" x14ac:dyDescent="0.35">
      <c r="A42" s="4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4" ht="15.75" customHeight="1" x14ac:dyDescent="0.35">
      <c r="A43" s="4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1:14" ht="15.75" customHeight="1" x14ac:dyDescent="0.35">
      <c r="A44" s="131" t="s">
        <v>103</v>
      </c>
      <c r="B44" s="132">
        <f t="shared" ref="B44:M44" si="6">(B6)*0.08256881</f>
        <v>348.85322225000004</v>
      </c>
      <c r="C44" s="132">
        <f t="shared" si="6"/>
        <v>488.39451115000003</v>
      </c>
      <c r="D44" s="132">
        <f t="shared" si="6"/>
        <v>627.93580005000001</v>
      </c>
      <c r="E44" s="132">
        <f t="shared" si="6"/>
        <v>837.24773340000002</v>
      </c>
      <c r="F44" s="132">
        <f t="shared" si="6"/>
        <v>907.01837785000009</v>
      </c>
      <c r="G44" s="132">
        <f t="shared" si="6"/>
        <v>907.01837785000009</v>
      </c>
      <c r="H44" s="132">
        <f t="shared" si="6"/>
        <v>976.78902230000006</v>
      </c>
      <c r="I44" s="132">
        <f t="shared" si="6"/>
        <v>976.78902230000006</v>
      </c>
      <c r="J44" s="132">
        <f t="shared" si="6"/>
        <v>976.78902230000006</v>
      </c>
      <c r="K44" s="132">
        <f t="shared" si="6"/>
        <v>1046.5596667500001</v>
      </c>
      <c r="L44" s="132">
        <f t="shared" si="6"/>
        <v>1046.5596667500001</v>
      </c>
      <c r="M44" s="139">
        <f t="shared" si="6"/>
        <v>1046.5596667500001</v>
      </c>
    </row>
    <row r="45" spans="1:14" ht="15.75" customHeight="1" x14ac:dyDescent="0.35">
      <c r="A45" s="133" t="s">
        <v>102</v>
      </c>
      <c r="B45" s="140">
        <f t="shared" ref="B45:M45" si="7">((B15+B20+B21+B22)*0.1735537)+((B17)*0.08256881)</f>
        <v>14300.998433700001</v>
      </c>
      <c r="C45" s="140">
        <f t="shared" si="7"/>
        <v>860.9999057</v>
      </c>
      <c r="D45" s="140">
        <f t="shared" si="7"/>
        <v>860.9999057</v>
      </c>
      <c r="E45" s="140">
        <f t="shared" si="7"/>
        <v>860.9999057</v>
      </c>
      <c r="F45" s="140">
        <f t="shared" si="7"/>
        <v>860.9999057</v>
      </c>
      <c r="G45" s="140">
        <f t="shared" si="7"/>
        <v>860.9999057</v>
      </c>
      <c r="H45" s="140">
        <f t="shared" si="7"/>
        <v>860.9999057</v>
      </c>
      <c r="I45" s="140">
        <f t="shared" si="7"/>
        <v>860.9999057</v>
      </c>
      <c r="J45" s="140">
        <f t="shared" si="7"/>
        <v>860.9999057</v>
      </c>
      <c r="K45" s="140">
        <f t="shared" si="7"/>
        <v>860.9999057</v>
      </c>
      <c r="L45" s="140">
        <f t="shared" si="7"/>
        <v>860.9999057</v>
      </c>
      <c r="M45" s="135">
        <f t="shared" si="7"/>
        <v>860.9999057</v>
      </c>
    </row>
    <row r="46" spans="1:14" ht="15.75" customHeight="1" x14ac:dyDescent="0.35">
      <c r="A46" s="136" t="s">
        <v>101</v>
      </c>
      <c r="B46" s="137">
        <f t="shared" ref="B46:M46" si="8">B44-B45</f>
        <v>-13952.145211450001</v>
      </c>
      <c r="C46" s="137">
        <f t="shared" si="8"/>
        <v>-372.60539454999997</v>
      </c>
      <c r="D46" s="137">
        <f t="shared" si="8"/>
        <v>-233.06410564999999</v>
      </c>
      <c r="E46" s="137">
        <f t="shared" si="8"/>
        <v>-23.752172299999984</v>
      </c>
      <c r="F46" s="137">
        <f t="shared" si="8"/>
        <v>46.018472150000093</v>
      </c>
      <c r="G46" s="137">
        <f t="shared" si="8"/>
        <v>46.018472150000093</v>
      </c>
      <c r="H46" s="137">
        <f t="shared" si="8"/>
        <v>115.78911660000006</v>
      </c>
      <c r="I46" s="137">
        <f t="shared" si="8"/>
        <v>115.78911660000006</v>
      </c>
      <c r="J46" s="137">
        <f t="shared" si="8"/>
        <v>115.78911660000006</v>
      </c>
      <c r="K46" s="137">
        <f t="shared" si="8"/>
        <v>185.55976105000013</v>
      </c>
      <c r="L46" s="137">
        <f t="shared" si="8"/>
        <v>185.55976105000013</v>
      </c>
      <c r="M46" s="138">
        <f t="shared" si="8"/>
        <v>185.55976105000013</v>
      </c>
    </row>
    <row r="47" spans="1:14" ht="18" x14ac:dyDescent="0.35">
      <c r="A47" s="46"/>
      <c r="B47" s="46"/>
      <c r="C47" s="46"/>
      <c r="D47" s="141"/>
      <c r="E47" s="141"/>
      <c r="F47" s="141"/>
      <c r="G47" s="141"/>
      <c r="H47" s="141"/>
      <c r="I47" s="141"/>
      <c r="J47" s="141"/>
      <c r="K47" s="141"/>
      <c r="L47" s="141"/>
      <c r="M47" s="141"/>
    </row>
    <row r="48" spans="1:14" ht="18" x14ac:dyDescent="0.35">
      <c r="A48" s="46"/>
      <c r="B48" s="46"/>
      <c r="C48" s="46"/>
      <c r="D48" s="141"/>
      <c r="E48" s="141"/>
      <c r="F48" s="141"/>
      <c r="G48" s="141"/>
      <c r="H48" s="141"/>
      <c r="I48" s="141"/>
      <c r="J48" s="141"/>
      <c r="K48" s="141"/>
      <c r="L48" s="141"/>
      <c r="M48" s="141"/>
    </row>
    <row r="49" spans="1:13" ht="18" x14ac:dyDescent="0.3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18" x14ac:dyDescent="0.35">
      <c r="A50" s="46"/>
      <c r="E50" s="46"/>
      <c r="F50" s="31"/>
      <c r="G50" s="46"/>
      <c r="H50" s="46"/>
      <c r="I50" s="46"/>
      <c r="J50" s="46"/>
      <c r="K50" s="46"/>
      <c r="L50" s="46"/>
      <c r="M50" s="46"/>
    </row>
    <row r="51" spans="1:13" ht="18" x14ac:dyDescent="0.35">
      <c r="A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8" x14ac:dyDescent="0.35">
      <c r="A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 ht="18" x14ac:dyDescent="0.35">
      <c r="A53" s="46"/>
      <c r="E53" s="46"/>
      <c r="F53" s="46"/>
      <c r="G53" s="46"/>
      <c r="H53" s="46"/>
      <c r="I53" s="46"/>
      <c r="J53" s="46"/>
      <c r="K53" s="46"/>
      <c r="L53" s="46"/>
      <c r="M53" s="46"/>
    </row>
    <row r="62" spans="1:13" x14ac:dyDescent="0.2">
      <c r="D62" s="24"/>
      <c r="E62" s="24"/>
      <c r="F62" s="24"/>
    </row>
    <row r="67" spans="4:6" x14ac:dyDescent="0.2">
      <c r="D67" s="24"/>
      <c r="E67" s="24"/>
      <c r="F67" s="24"/>
    </row>
    <row r="95" spans="4:5" ht="15.75" x14ac:dyDescent="0.25">
      <c r="D95" s="23"/>
      <c r="E95" s="22"/>
    </row>
    <row r="102" spans="4:6" x14ac:dyDescent="0.2">
      <c r="D102" s="21"/>
      <c r="E102" s="21"/>
      <c r="F102" s="21"/>
    </row>
  </sheetData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2"/>
  <sheetViews>
    <sheetView zoomScale="110" zoomScaleNormal="110" zoomScalePageLayoutView="80" workbookViewId="0">
      <selection activeCell="A3" sqref="A3:M41"/>
    </sheetView>
  </sheetViews>
  <sheetFormatPr defaultColWidth="10.140625" defaultRowHeight="12.75" x14ac:dyDescent="0.2"/>
  <cols>
    <col min="1" max="1" width="52" style="1" bestFit="1" customWidth="1"/>
    <col min="2" max="13" width="9.85546875" style="1" customWidth="1"/>
    <col min="14" max="14" width="14.140625" style="1" hidden="1" customWidth="1"/>
    <col min="15" max="15" width="6" style="1" customWidth="1"/>
    <col min="16" max="16" width="21.85546875" style="1" bestFit="1" customWidth="1"/>
    <col min="17" max="16384" width="10.140625" style="1"/>
  </cols>
  <sheetData>
    <row r="1" spans="1:17" ht="34.5" customHeight="1" x14ac:dyDescent="0.55000000000000004">
      <c r="A1" s="44" t="s">
        <v>120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7" ht="15.75" customHeight="1" x14ac:dyDescent="0.35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7" ht="15.75" customHeight="1" x14ac:dyDescent="0.35">
      <c r="A3" s="81"/>
      <c r="B3" s="82">
        <v>1</v>
      </c>
      <c r="C3" s="82">
        <v>2</v>
      </c>
      <c r="D3" s="82">
        <v>3</v>
      </c>
      <c r="E3" s="82">
        <v>4</v>
      </c>
      <c r="F3" s="82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82">
        <v>11</v>
      </c>
      <c r="M3" s="92">
        <v>12</v>
      </c>
      <c r="O3" s="9"/>
      <c r="P3" s="142" t="s">
        <v>100</v>
      </c>
      <c r="Q3" s="143"/>
    </row>
    <row r="4" spans="1:17" ht="15.75" customHeight="1" x14ac:dyDescent="0.35">
      <c r="A4" s="51" t="s">
        <v>134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  <c r="P4" s="144" t="s">
        <v>99</v>
      </c>
      <c r="Q4" s="145">
        <f>'Liquiditeit Jaar 1'!Q4</f>
        <v>47500</v>
      </c>
    </row>
    <row r="5" spans="1:17" ht="15.75" customHeight="1" x14ac:dyDescent="0.35">
      <c r="A5" s="108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2"/>
      <c r="P5" s="144" t="s">
        <v>98</v>
      </c>
      <c r="Q5" s="145">
        <f>'Liquiditeit Jaar 1'!Q5</f>
        <v>2375</v>
      </c>
    </row>
    <row r="6" spans="1:17" s="37" customFormat="1" ht="15.6" customHeight="1" x14ac:dyDescent="0.35">
      <c r="A6" s="108" t="str">
        <f>Exploitatie!A6</f>
        <v xml:space="preserve">Omzet </v>
      </c>
      <c r="B6" s="111">
        <f>Exploitatie!G12*1.09</f>
        <v>15000</v>
      </c>
      <c r="C6" s="111">
        <f>Exploitatie!H12*1.09</f>
        <v>15000</v>
      </c>
      <c r="D6" s="111">
        <f>Exploitatie!I12*1.09</f>
        <v>15000</v>
      </c>
      <c r="E6" s="111">
        <f>Exploitatie!J12*1.09</f>
        <v>15000</v>
      </c>
      <c r="F6" s="111">
        <f>Exploitatie!K12*1.09</f>
        <v>15000</v>
      </c>
      <c r="G6" s="111">
        <f>Exploitatie!L12*1.09</f>
        <v>15000</v>
      </c>
      <c r="H6" s="111">
        <f>Exploitatie!M12*1.09</f>
        <v>15937.5</v>
      </c>
      <c r="I6" s="111">
        <f>Exploitatie!N12*1.09</f>
        <v>15937.5</v>
      </c>
      <c r="J6" s="111">
        <f>Exploitatie!O12*1.09</f>
        <v>15937.5</v>
      </c>
      <c r="K6" s="111">
        <f>Exploitatie!P12*1.09</f>
        <v>15937.5</v>
      </c>
      <c r="L6" s="111">
        <f>Exploitatie!Q12*1.09</f>
        <v>15937.5</v>
      </c>
      <c r="M6" s="112">
        <f>Exploitatie!R12*1.09</f>
        <v>15937.5</v>
      </c>
      <c r="N6" s="25">
        <f t="shared" ref="N6:N41" si="0">SUM(B6:M6)</f>
        <v>185625</v>
      </c>
      <c r="P6" s="146" t="s">
        <v>97</v>
      </c>
      <c r="Q6" s="147">
        <f>'Liquiditeit Jaar 1'!Q6</f>
        <v>7.0000000000000007E-2</v>
      </c>
    </row>
    <row r="7" spans="1:17" ht="15.75" customHeight="1" x14ac:dyDescent="0.25">
      <c r="A7" s="2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29"/>
      <c r="N7" s="25">
        <f t="shared" si="0"/>
        <v>0</v>
      </c>
      <c r="P7" s="36"/>
      <c r="Q7" s="32"/>
    </row>
    <row r="8" spans="1:17" ht="15.75" customHeight="1" x14ac:dyDescent="0.35">
      <c r="A8" s="108" t="s">
        <v>70</v>
      </c>
      <c r="B8" s="111">
        <v>0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2">
        <v>0</v>
      </c>
      <c r="N8" s="25">
        <f t="shared" si="0"/>
        <v>0</v>
      </c>
      <c r="P8" s="36"/>
      <c r="Q8" s="32"/>
    </row>
    <row r="9" spans="1:17" ht="15.75" customHeight="1" x14ac:dyDescent="0.35">
      <c r="A9" s="108" t="s">
        <v>118</v>
      </c>
      <c r="B9" s="111">
        <v>0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2">
        <v>0</v>
      </c>
      <c r="N9" s="25">
        <f t="shared" si="0"/>
        <v>0</v>
      </c>
      <c r="P9" s="36"/>
      <c r="Q9" s="32"/>
    </row>
    <row r="10" spans="1:17" ht="15.75" customHeight="1" x14ac:dyDescent="0.35">
      <c r="A10" s="108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  <c r="N10" s="25">
        <f t="shared" si="0"/>
        <v>0</v>
      </c>
      <c r="P10" s="32"/>
      <c r="Q10" s="32"/>
    </row>
    <row r="11" spans="1:17" s="34" customFormat="1" ht="15.75" customHeight="1" x14ac:dyDescent="0.35">
      <c r="A11" s="51" t="s">
        <v>117</v>
      </c>
      <c r="B11" s="113">
        <f t="shared" ref="B11:M11" si="1">SUM(B6:B9)</f>
        <v>15000</v>
      </c>
      <c r="C11" s="113">
        <f t="shared" si="1"/>
        <v>15000</v>
      </c>
      <c r="D11" s="113">
        <f t="shared" si="1"/>
        <v>15000</v>
      </c>
      <c r="E11" s="113">
        <f t="shared" si="1"/>
        <v>15000</v>
      </c>
      <c r="F11" s="113">
        <f t="shared" si="1"/>
        <v>15000</v>
      </c>
      <c r="G11" s="113">
        <f t="shared" si="1"/>
        <v>15000</v>
      </c>
      <c r="H11" s="113">
        <f t="shared" si="1"/>
        <v>15937.5</v>
      </c>
      <c r="I11" s="113">
        <f t="shared" si="1"/>
        <v>15937.5</v>
      </c>
      <c r="J11" s="113">
        <f t="shared" si="1"/>
        <v>15937.5</v>
      </c>
      <c r="K11" s="113">
        <f t="shared" si="1"/>
        <v>15937.5</v>
      </c>
      <c r="L11" s="113">
        <f t="shared" si="1"/>
        <v>15937.5</v>
      </c>
      <c r="M11" s="114">
        <f t="shared" si="1"/>
        <v>15937.5</v>
      </c>
      <c r="N11" s="25">
        <f t="shared" si="0"/>
        <v>185625</v>
      </c>
      <c r="P11" s="35"/>
      <c r="Q11" s="35"/>
    </row>
    <row r="12" spans="1:17" ht="15.75" customHeight="1" x14ac:dyDescent="0.25">
      <c r="A12" s="28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26"/>
      <c r="N12" s="25">
        <f t="shared" si="0"/>
        <v>0</v>
      </c>
      <c r="P12" s="32"/>
      <c r="Q12" s="32"/>
    </row>
    <row r="13" spans="1:17" ht="15.75" customHeight="1" x14ac:dyDescent="0.35">
      <c r="A13" s="51" t="s">
        <v>135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4"/>
      <c r="N13" s="1">
        <f t="shared" si="0"/>
        <v>0</v>
      </c>
      <c r="P13" s="41"/>
      <c r="Q13" s="32"/>
    </row>
    <row r="14" spans="1:17" ht="15.75" customHeight="1" x14ac:dyDescent="0.3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25">
        <f t="shared" si="0"/>
        <v>0</v>
      </c>
      <c r="P14" s="32"/>
      <c r="Q14" s="32"/>
    </row>
    <row r="15" spans="1:17" ht="15.75" customHeight="1" x14ac:dyDescent="0.35">
      <c r="A15" s="119" t="s">
        <v>116</v>
      </c>
      <c r="B15" s="120">
        <v>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1">
        <v>0</v>
      </c>
      <c r="N15" s="25">
        <f t="shared" si="0"/>
        <v>0</v>
      </c>
      <c r="P15" s="32"/>
      <c r="Q15" s="32"/>
    </row>
    <row r="16" spans="1:17" ht="15.75" customHeight="1" x14ac:dyDescent="0.35">
      <c r="A16" s="122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1"/>
      <c r="N16" s="25">
        <f t="shared" si="0"/>
        <v>0</v>
      </c>
      <c r="P16" s="32"/>
      <c r="Q16" s="32"/>
    </row>
    <row r="17" spans="1:17" ht="15.75" customHeight="1" x14ac:dyDescent="0.35">
      <c r="A17" s="119" t="str">
        <f>Exploitatie!A12</f>
        <v>Werk derden (ZZP)</v>
      </c>
      <c r="B17" s="120">
        <f>Exploitatie!$C$12/12*1.09</f>
        <v>314.73750000000001</v>
      </c>
      <c r="C17" s="120">
        <f>Exploitatie!$C$12/12*1.09</f>
        <v>314.73750000000001</v>
      </c>
      <c r="D17" s="120">
        <f>Exploitatie!$C$12/12*1.09</f>
        <v>314.73750000000001</v>
      </c>
      <c r="E17" s="120">
        <f>Exploitatie!$C$12/12*1.09</f>
        <v>314.73750000000001</v>
      </c>
      <c r="F17" s="120">
        <f>Exploitatie!$C$12/12*1.09</f>
        <v>314.73750000000001</v>
      </c>
      <c r="G17" s="120">
        <f>Exploitatie!$C$12/12*1.09</f>
        <v>314.73750000000001</v>
      </c>
      <c r="H17" s="120">
        <f>Exploitatie!$C$12/12*1.09</f>
        <v>314.73750000000001</v>
      </c>
      <c r="I17" s="120">
        <f>Exploitatie!$C$12/12*1.09</f>
        <v>314.73750000000001</v>
      </c>
      <c r="J17" s="120">
        <f>Exploitatie!$C$12/12*1.09</f>
        <v>314.73750000000001</v>
      </c>
      <c r="K17" s="120">
        <f>Exploitatie!$C$12/12*1.09</f>
        <v>314.73750000000001</v>
      </c>
      <c r="L17" s="120">
        <f>Exploitatie!$C$12/12*1.09</f>
        <v>314.73750000000001</v>
      </c>
      <c r="M17" s="121">
        <f>Exploitatie!$C$12/12*1.09</f>
        <v>314.73750000000001</v>
      </c>
      <c r="N17" s="25">
        <f t="shared" si="0"/>
        <v>3776.8500000000008</v>
      </c>
      <c r="P17" s="33"/>
      <c r="Q17" s="32"/>
    </row>
    <row r="18" spans="1:17" ht="15.75" customHeight="1" x14ac:dyDescent="0.35">
      <c r="A18" s="122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  <c r="N18" s="25">
        <f t="shared" si="0"/>
        <v>0</v>
      </c>
      <c r="P18" s="33"/>
      <c r="Q18" s="32"/>
    </row>
    <row r="19" spans="1:17" ht="15.75" customHeight="1" x14ac:dyDescent="0.35">
      <c r="A19" s="119" t="s">
        <v>115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4"/>
      <c r="N19" s="25">
        <f t="shared" si="0"/>
        <v>0</v>
      </c>
      <c r="P19" s="33"/>
      <c r="Q19" s="32"/>
    </row>
    <row r="20" spans="1:17" ht="15.75" customHeight="1" x14ac:dyDescent="0.35">
      <c r="A20" s="108" t="str">
        <f>'Liquiditeit Jaar 1'!A20</f>
        <v>Inventaris- en kantoorkosten</v>
      </c>
      <c r="B20" s="120">
        <f>Exploitatie!$C$85/12*1.21</f>
        <v>586.85</v>
      </c>
      <c r="C20" s="120">
        <f>Exploitatie!$C$85/12*1.21</f>
        <v>586.85</v>
      </c>
      <c r="D20" s="120">
        <f>Exploitatie!$C$85/12*1.21</f>
        <v>586.85</v>
      </c>
      <c r="E20" s="120">
        <f>Exploitatie!$C$85/12*1.21</f>
        <v>586.85</v>
      </c>
      <c r="F20" s="120">
        <f>Exploitatie!$C$85/12*1.21</f>
        <v>586.85</v>
      </c>
      <c r="G20" s="120">
        <f>Exploitatie!$C$85/12*1.21</f>
        <v>586.85</v>
      </c>
      <c r="H20" s="120">
        <f>Exploitatie!$C$85/12*1.21</f>
        <v>586.85</v>
      </c>
      <c r="I20" s="120">
        <f>Exploitatie!$C$85/12*1.21</f>
        <v>586.85</v>
      </c>
      <c r="J20" s="120">
        <f>Exploitatie!$C$85/12*1.21</f>
        <v>586.85</v>
      </c>
      <c r="K20" s="120">
        <f>Exploitatie!$C$85/12*1.21</f>
        <v>586.85</v>
      </c>
      <c r="L20" s="120">
        <f>Exploitatie!$C$85/12*1.21</f>
        <v>586.85</v>
      </c>
      <c r="M20" s="121">
        <f>Exploitatie!$C$85/12*1.21</f>
        <v>586.85</v>
      </c>
      <c r="N20" s="25">
        <f t="shared" si="0"/>
        <v>7042.2000000000016</v>
      </c>
      <c r="P20" s="32"/>
      <c r="Q20" s="32"/>
    </row>
    <row r="21" spans="1:17" ht="15.75" customHeight="1" x14ac:dyDescent="0.35">
      <c r="A21" s="108" t="str">
        <f>'Liquiditeit Jaar 1'!A21</f>
        <v>Huisvestingskosten</v>
      </c>
      <c r="B21" s="120">
        <f>Exploitatie!$C$86/12*1.21</f>
        <v>3754.0250000000001</v>
      </c>
      <c r="C21" s="120">
        <f>Exploitatie!$C$86/12*1.21</f>
        <v>3754.0250000000001</v>
      </c>
      <c r="D21" s="120">
        <f>Exploitatie!$C$86/12*1.21</f>
        <v>3754.0250000000001</v>
      </c>
      <c r="E21" s="120">
        <f>Exploitatie!$C$86/12*1.21</f>
        <v>3754.0250000000001</v>
      </c>
      <c r="F21" s="120">
        <f>Exploitatie!$C$86/12*1.21</f>
        <v>3754.0250000000001</v>
      </c>
      <c r="G21" s="120">
        <f>Exploitatie!$C$86/12*1.21</f>
        <v>3754.0250000000001</v>
      </c>
      <c r="H21" s="120">
        <f>Exploitatie!$C$86/12*1.21</f>
        <v>3754.0250000000001</v>
      </c>
      <c r="I21" s="120">
        <f>Exploitatie!$C$86/12*1.21</f>
        <v>3754.0250000000001</v>
      </c>
      <c r="J21" s="120">
        <f>Exploitatie!$C$86/12*1.21</f>
        <v>3754.0250000000001</v>
      </c>
      <c r="K21" s="120">
        <f>Exploitatie!$C$86/12*1.21</f>
        <v>3754.0250000000001</v>
      </c>
      <c r="L21" s="120">
        <f>Exploitatie!$C$86/12*1.21</f>
        <v>3754.0250000000001</v>
      </c>
      <c r="M21" s="121">
        <f>Exploitatie!$C$86/12*1.21</f>
        <v>3754.0250000000001</v>
      </c>
      <c r="N21" s="25">
        <f t="shared" si="0"/>
        <v>45048.30000000001</v>
      </c>
      <c r="P21" s="32"/>
      <c r="Q21" s="32"/>
    </row>
    <row r="22" spans="1:17" ht="15.75" customHeight="1" x14ac:dyDescent="0.35">
      <c r="A22" s="108" t="str">
        <f>'Liquiditeit Jaar 1'!A22</f>
        <v>Verkoopkosten</v>
      </c>
      <c r="B22" s="120">
        <f>Exploitatie!$C$87/12*1.21</f>
        <v>930.08666666666659</v>
      </c>
      <c r="C22" s="120">
        <f>Exploitatie!$C$87/12*1.21</f>
        <v>930.08666666666659</v>
      </c>
      <c r="D22" s="120">
        <f>Exploitatie!$C$87/12*1.21</f>
        <v>930.08666666666659</v>
      </c>
      <c r="E22" s="120">
        <f>Exploitatie!$C$87/12*1.21</f>
        <v>930.08666666666659</v>
      </c>
      <c r="F22" s="120">
        <f>Exploitatie!$C$87/12*1.21</f>
        <v>930.08666666666659</v>
      </c>
      <c r="G22" s="120">
        <f>Exploitatie!$C$87/12*1.21</f>
        <v>930.08666666666659</v>
      </c>
      <c r="H22" s="120">
        <f>Exploitatie!$C$87/12*1.21</f>
        <v>930.08666666666659</v>
      </c>
      <c r="I22" s="120">
        <f>Exploitatie!$C$87/12*1.21</f>
        <v>930.08666666666659</v>
      </c>
      <c r="J22" s="120">
        <f>Exploitatie!$C$87/12*1.21</f>
        <v>930.08666666666659</v>
      </c>
      <c r="K22" s="120">
        <f>Exploitatie!$C$87/12*1.21</f>
        <v>930.08666666666659</v>
      </c>
      <c r="L22" s="120">
        <f>Exploitatie!$C$87/12*1.21</f>
        <v>930.08666666666659</v>
      </c>
      <c r="M22" s="121">
        <f>Exploitatie!$C$87/12*1.21</f>
        <v>930.08666666666659</v>
      </c>
      <c r="N22" s="25">
        <f t="shared" si="0"/>
        <v>11161.039999999995</v>
      </c>
      <c r="P22" s="32"/>
      <c r="Q22" s="32"/>
    </row>
    <row r="23" spans="1:17" ht="15.75" customHeight="1" x14ac:dyDescent="0.35">
      <c r="A23" s="108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1"/>
      <c r="N23" s="25">
        <f t="shared" si="0"/>
        <v>0</v>
      </c>
      <c r="P23" s="32"/>
      <c r="Q23" s="32"/>
    </row>
    <row r="24" spans="1:17" ht="15.75" customHeight="1" x14ac:dyDescent="0.35">
      <c r="A24" s="125" t="s">
        <v>114</v>
      </c>
      <c r="B24" s="120">
        <v>2000</v>
      </c>
      <c r="C24" s="120">
        <v>2000</v>
      </c>
      <c r="D24" s="120">
        <v>2000</v>
      </c>
      <c r="E24" s="120">
        <v>2000</v>
      </c>
      <c r="F24" s="120">
        <v>2000</v>
      </c>
      <c r="G24" s="120">
        <v>2000</v>
      </c>
      <c r="H24" s="120">
        <v>2000</v>
      </c>
      <c r="I24" s="120">
        <v>2000</v>
      </c>
      <c r="J24" s="120">
        <v>2000</v>
      </c>
      <c r="K24" s="120">
        <v>2000</v>
      </c>
      <c r="L24" s="120">
        <v>2000</v>
      </c>
      <c r="M24" s="121">
        <v>2000</v>
      </c>
      <c r="N24" s="25">
        <f t="shared" si="0"/>
        <v>24000</v>
      </c>
      <c r="P24" s="32"/>
      <c r="Q24" s="32"/>
    </row>
    <row r="25" spans="1:17" ht="15.75" customHeight="1" x14ac:dyDescent="0.35">
      <c r="A25" s="108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1"/>
      <c r="N25" s="25">
        <f t="shared" si="0"/>
        <v>0</v>
      </c>
      <c r="P25" s="32"/>
      <c r="Q25" s="32"/>
    </row>
    <row r="26" spans="1:17" ht="15.75" customHeight="1" x14ac:dyDescent="0.35">
      <c r="A26" s="125" t="s">
        <v>113</v>
      </c>
      <c r="B26" s="120"/>
      <c r="C26" s="120"/>
      <c r="D26" s="120"/>
      <c r="E26" s="126"/>
      <c r="F26" s="120"/>
      <c r="G26" s="120"/>
      <c r="H26" s="120"/>
      <c r="I26" s="120"/>
      <c r="J26" s="120"/>
      <c r="K26" s="120"/>
      <c r="L26" s="120"/>
      <c r="M26" s="121"/>
      <c r="N26" s="25">
        <f t="shared" si="0"/>
        <v>0</v>
      </c>
    </row>
    <row r="27" spans="1:17" ht="15.75" customHeight="1" x14ac:dyDescent="0.35">
      <c r="A27" s="108" t="s">
        <v>112</v>
      </c>
      <c r="B27" s="120">
        <v>0</v>
      </c>
      <c r="C27" s="120">
        <v>0</v>
      </c>
      <c r="D27" s="120">
        <f>Q5</f>
        <v>2375</v>
      </c>
      <c r="E27" s="120">
        <v>0</v>
      </c>
      <c r="F27" s="120">
        <v>0</v>
      </c>
      <c r="G27" s="120">
        <f>Q5</f>
        <v>2375</v>
      </c>
      <c r="H27" s="120">
        <v>0</v>
      </c>
      <c r="I27" s="120">
        <v>0</v>
      </c>
      <c r="J27" s="120">
        <f>Q5</f>
        <v>2375</v>
      </c>
      <c r="K27" s="120">
        <v>0</v>
      </c>
      <c r="L27" s="120">
        <v>0</v>
      </c>
      <c r="M27" s="121">
        <f>Q5</f>
        <v>2375</v>
      </c>
      <c r="N27" s="25">
        <f t="shared" si="0"/>
        <v>9500</v>
      </c>
    </row>
    <row r="28" spans="1:17" ht="15.75" customHeight="1" x14ac:dyDescent="0.35">
      <c r="A28" s="108" t="s">
        <v>111</v>
      </c>
      <c r="B28" s="120">
        <f>(($Q4-4*$Q5)*$Q6)/12</f>
        <v>221.66666666666671</v>
      </c>
      <c r="C28" s="120">
        <f>(($Q4-4*$Q5)*$Q6)/12</f>
        <v>221.66666666666671</v>
      </c>
      <c r="D28" s="120">
        <f>(($Q4-4*$Q5)*$Q6)/12</f>
        <v>221.66666666666671</v>
      </c>
      <c r="E28" s="120">
        <f>(($Q4-5*$Q5)*$Q6)/12</f>
        <v>207.81250000000003</v>
      </c>
      <c r="F28" s="120">
        <f>(($Q4-5*$Q5)*$Q6)/12</f>
        <v>207.81250000000003</v>
      </c>
      <c r="G28" s="120">
        <f>(($Q4-5*$Q5)*$Q6)/12</f>
        <v>207.81250000000003</v>
      </c>
      <c r="H28" s="120">
        <f>(($Q4-6*$Q5)*$Q6)/12</f>
        <v>193.95833333333334</v>
      </c>
      <c r="I28" s="120">
        <f>(($Q4-6*$Q5)*$Q6)/12</f>
        <v>193.95833333333334</v>
      </c>
      <c r="J28" s="120">
        <f>(($Q4-6*$Q5)*$Q6)/12</f>
        <v>193.95833333333334</v>
      </c>
      <c r="K28" s="120">
        <f>(($Q4-7*$Q5)*$Q6)/12</f>
        <v>180.10416666666666</v>
      </c>
      <c r="L28" s="120">
        <f>(($Q4-7*$Q5)*$Q6)/12</f>
        <v>180.10416666666666</v>
      </c>
      <c r="M28" s="121">
        <f>(($Q4-7*$Q5)*$Q6)/12</f>
        <v>180.10416666666666</v>
      </c>
      <c r="N28" s="25">
        <f t="shared" si="0"/>
        <v>2410.6249999999995</v>
      </c>
    </row>
    <row r="29" spans="1:17" ht="15.75" customHeight="1" x14ac:dyDescent="0.35">
      <c r="A29" s="108" t="str">
        <f>'Liquiditeit Jaar 1'!A29</f>
        <v>Rentekosten kort vreemd vermogen</v>
      </c>
      <c r="B29" s="120">
        <v>0</v>
      </c>
      <c r="C29" s="120">
        <v>0</v>
      </c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1">
        <v>0</v>
      </c>
      <c r="N29" s="25">
        <f t="shared" si="0"/>
        <v>0</v>
      </c>
    </row>
    <row r="30" spans="1:17" ht="15.75" customHeight="1" x14ac:dyDescent="0.35">
      <c r="A30" s="108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  <c r="N30" s="25">
        <f t="shared" si="0"/>
        <v>0</v>
      </c>
    </row>
    <row r="31" spans="1:17" ht="15.75" customHeight="1" x14ac:dyDescent="0.35">
      <c r="A31" s="125" t="s">
        <v>109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1"/>
      <c r="N31" s="25">
        <f t="shared" si="0"/>
        <v>0</v>
      </c>
    </row>
    <row r="32" spans="1:17" ht="15.75" customHeight="1" x14ac:dyDescent="0.35">
      <c r="A32" s="108" t="str">
        <f>'Liquiditeit Jaar 1'!A32</f>
        <v>IB/PH</v>
      </c>
      <c r="B32" s="120">
        <f>Exploitatie!$C$59/12</f>
        <v>2576.848453048548</v>
      </c>
      <c r="C32" s="120">
        <f>Exploitatie!$C$59/12</f>
        <v>2576.848453048548</v>
      </c>
      <c r="D32" s="120">
        <f>Exploitatie!$C$59/12</f>
        <v>2576.848453048548</v>
      </c>
      <c r="E32" s="120">
        <f>Exploitatie!$C$59/12</f>
        <v>2576.848453048548</v>
      </c>
      <c r="F32" s="120">
        <f>Exploitatie!$C$59/12</f>
        <v>2576.848453048548</v>
      </c>
      <c r="G32" s="120">
        <f>Exploitatie!$C$59/12</f>
        <v>2576.848453048548</v>
      </c>
      <c r="H32" s="120">
        <f>Exploitatie!$C$59/12</f>
        <v>2576.848453048548</v>
      </c>
      <c r="I32" s="120">
        <f>Exploitatie!$C$59/12</f>
        <v>2576.848453048548</v>
      </c>
      <c r="J32" s="120">
        <f>Exploitatie!$C$59/12</f>
        <v>2576.848453048548</v>
      </c>
      <c r="K32" s="120">
        <f>Exploitatie!$C$59/12</f>
        <v>2576.848453048548</v>
      </c>
      <c r="L32" s="120">
        <f>Exploitatie!$C$59/12</f>
        <v>2576.848453048548</v>
      </c>
      <c r="M32" s="121">
        <f>Exploitatie!$C$59/12</f>
        <v>2576.848453048548</v>
      </c>
      <c r="N32" s="25">
        <f t="shared" si="0"/>
        <v>30922.181436582574</v>
      </c>
    </row>
    <row r="33" spans="1:14" ht="15.75" customHeight="1" x14ac:dyDescent="0.35">
      <c r="A33" s="108" t="str">
        <f>'Liquiditeit Jaar 1'!A33</f>
        <v>Zvw</v>
      </c>
      <c r="B33" s="120">
        <f>Exploitatie!$C$60/12</f>
        <v>259.91666666666669</v>
      </c>
      <c r="C33" s="120">
        <f>Exploitatie!$C$60/12</f>
        <v>259.91666666666669</v>
      </c>
      <c r="D33" s="120">
        <f>Exploitatie!$C$60/12</f>
        <v>259.91666666666669</v>
      </c>
      <c r="E33" s="120">
        <f>Exploitatie!$C$60/12</f>
        <v>259.91666666666669</v>
      </c>
      <c r="F33" s="120">
        <f>Exploitatie!$C$60/12</f>
        <v>259.91666666666669</v>
      </c>
      <c r="G33" s="120">
        <f>Exploitatie!$C$60/12</f>
        <v>259.91666666666669</v>
      </c>
      <c r="H33" s="120">
        <f>Exploitatie!$C$60/12</f>
        <v>259.91666666666669</v>
      </c>
      <c r="I33" s="120">
        <f>Exploitatie!$C$60/12</f>
        <v>259.91666666666669</v>
      </c>
      <c r="J33" s="120">
        <f>Exploitatie!$C$60/12</f>
        <v>259.91666666666669</v>
      </c>
      <c r="K33" s="120">
        <f>Exploitatie!$C$60/12</f>
        <v>259.91666666666669</v>
      </c>
      <c r="L33" s="120">
        <f>Exploitatie!$C$60/12</f>
        <v>259.91666666666669</v>
      </c>
      <c r="M33" s="121">
        <f>Exploitatie!$C$60/12</f>
        <v>259.91666666666669</v>
      </c>
      <c r="N33" s="25">
        <f t="shared" si="0"/>
        <v>3118.9999999999995</v>
      </c>
    </row>
    <row r="34" spans="1:14" ht="15.75" customHeight="1" x14ac:dyDescent="0.35">
      <c r="A34" s="108" t="s">
        <v>108</v>
      </c>
      <c r="B34" s="111">
        <f>SUM('Liquiditeit Jaar 1'!K46:M46)</f>
        <v>556.6792831500004</v>
      </c>
      <c r="C34" s="111">
        <v>0</v>
      </c>
      <c r="D34" s="111">
        <v>0</v>
      </c>
      <c r="E34" s="111">
        <f>SUM(B46:D46)</f>
        <v>893.24924806337503</v>
      </c>
      <c r="F34" s="111">
        <v>0</v>
      </c>
      <c r="G34" s="111">
        <v>0</v>
      </c>
      <c r="H34" s="111">
        <f>SUM(E46:G46)</f>
        <v>893.24924806337503</v>
      </c>
      <c r="I34" s="111">
        <v>0</v>
      </c>
      <c r="J34" s="111">
        <v>0</v>
      </c>
      <c r="K34" s="111">
        <f>SUM(H46:J46)</f>
        <v>1125.4740261883755</v>
      </c>
      <c r="L34" s="111">
        <v>0</v>
      </c>
      <c r="M34" s="112">
        <v>0</v>
      </c>
      <c r="N34" s="25">
        <f t="shared" si="0"/>
        <v>3468.651805465126</v>
      </c>
    </row>
    <row r="35" spans="1:14" ht="15.75" customHeight="1" x14ac:dyDescent="0.25">
      <c r="A35" s="2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6"/>
      <c r="N35" s="25">
        <f t="shared" si="0"/>
        <v>0</v>
      </c>
    </row>
    <row r="36" spans="1:14" ht="15.75" customHeight="1" x14ac:dyDescent="0.35">
      <c r="A36" s="51" t="s">
        <v>107</v>
      </c>
      <c r="B36" s="113">
        <f t="shared" ref="B36:M36" si="2">SUM(B15:B35)</f>
        <v>11200.810236198549</v>
      </c>
      <c r="C36" s="113">
        <f t="shared" si="2"/>
        <v>10644.130953048549</v>
      </c>
      <c r="D36" s="113">
        <f t="shared" si="2"/>
        <v>13019.130953048547</v>
      </c>
      <c r="E36" s="113">
        <f t="shared" si="2"/>
        <v>11523.526034445256</v>
      </c>
      <c r="F36" s="113">
        <f t="shared" si="2"/>
        <v>10630.276786381881</v>
      </c>
      <c r="G36" s="113">
        <f t="shared" si="2"/>
        <v>13005.276786381881</v>
      </c>
      <c r="H36" s="113">
        <f t="shared" si="2"/>
        <v>11509.67186777859</v>
      </c>
      <c r="I36" s="113">
        <f t="shared" si="2"/>
        <v>10616.422619715215</v>
      </c>
      <c r="J36" s="113">
        <f t="shared" si="2"/>
        <v>12991.422619715215</v>
      </c>
      <c r="K36" s="113">
        <f t="shared" si="2"/>
        <v>11728.042479236925</v>
      </c>
      <c r="L36" s="113">
        <f t="shared" si="2"/>
        <v>10602.568453048549</v>
      </c>
      <c r="M36" s="114">
        <f t="shared" si="2"/>
        <v>12977.568453048547</v>
      </c>
      <c r="N36" s="25">
        <f t="shared" si="0"/>
        <v>140448.84824204771</v>
      </c>
    </row>
    <row r="37" spans="1:14" ht="15.75" customHeight="1" x14ac:dyDescent="0.35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9"/>
      <c r="N37" s="25">
        <f t="shared" si="0"/>
        <v>0</v>
      </c>
    </row>
    <row r="38" spans="1:14" ht="15.75" customHeight="1" x14ac:dyDescent="0.35">
      <c r="A38" s="108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30"/>
      <c r="N38" s="25">
        <f t="shared" si="0"/>
        <v>0</v>
      </c>
    </row>
    <row r="39" spans="1:14" ht="15.75" customHeight="1" x14ac:dyDescent="0.35">
      <c r="A39" s="131" t="s">
        <v>106</v>
      </c>
      <c r="B39" s="132">
        <f>'Liquiditeit Jaar 1'!M41</f>
        <v>27502.233857844505</v>
      </c>
      <c r="C39" s="132">
        <f t="shared" ref="C39:M39" si="3">B41</f>
        <v>31301.423621645954</v>
      </c>
      <c r="D39" s="132">
        <f t="shared" si="3"/>
        <v>35657.292668597409</v>
      </c>
      <c r="E39" s="132">
        <f t="shared" si="3"/>
        <v>37638.161715548864</v>
      </c>
      <c r="F39" s="132">
        <f t="shared" si="3"/>
        <v>41114.635681103609</v>
      </c>
      <c r="G39" s="132">
        <f t="shared" si="3"/>
        <v>45484.358894721729</v>
      </c>
      <c r="H39" s="132">
        <f t="shared" si="3"/>
        <v>47479.082108339848</v>
      </c>
      <c r="I39" s="132">
        <f t="shared" si="3"/>
        <v>51906.910240561258</v>
      </c>
      <c r="J39" s="132">
        <f t="shared" si="3"/>
        <v>57227.987620846041</v>
      </c>
      <c r="K39" s="132">
        <f t="shared" si="3"/>
        <v>60174.065001130824</v>
      </c>
      <c r="L39" s="132">
        <f t="shared" si="3"/>
        <v>64383.522521893901</v>
      </c>
      <c r="M39" s="112">
        <f t="shared" si="3"/>
        <v>69718.454068845356</v>
      </c>
      <c r="N39" s="25">
        <f t="shared" si="0"/>
        <v>569588.1280010792</v>
      </c>
    </row>
    <row r="40" spans="1:14" ht="15.75" customHeight="1" x14ac:dyDescent="0.35">
      <c r="A40" s="133" t="s">
        <v>105</v>
      </c>
      <c r="B40" s="134">
        <f t="shared" ref="B40:M40" si="4">B11-B36</f>
        <v>3799.1897638014507</v>
      </c>
      <c r="C40" s="134">
        <f t="shared" si="4"/>
        <v>4355.8690469514513</v>
      </c>
      <c r="D40" s="134">
        <f t="shared" si="4"/>
        <v>1980.8690469514531</v>
      </c>
      <c r="E40" s="134">
        <f t="shared" si="4"/>
        <v>3476.4739655547437</v>
      </c>
      <c r="F40" s="134">
        <f t="shared" si="4"/>
        <v>4369.7232136181192</v>
      </c>
      <c r="G40" s="134">
        <f t="shared" si="4"/>
        <v>1994.7232136181192</v>
      </c>
      <c r="H40" s="134">
        <f t="shared" si="4"/>
        <v>4427.8281322214098</v>
      </c>
      <c r="I40" s="134">
        <f t="shared" si="4"/>
        <v>5321.0773802847852</v>
      </c>
      <c r="J40" s="134">
        <f t="shared" si="4"/>
        <v>2946.0773802847852</v>
      </c>
      <c r="K40" s="134">
        <f t="shared" si="4"/>
        <v>4209.4575207630751</v>
      </c>
      <c r="L40" s="134">
        <f t="shared" si="4"/>
        <v>5334.9315469514513</v>
      </c>
      <c r="M40" s="135">
        <f t="shared" si="4"/>
        <v>2959.9315469514531</v>
      </c>
      <c r="N40" s="25">
        <f t="shared" si="0"/>
        <v>45176.151757952292</v>
      </c>
    </row>
    <row r="41" spans="1:14" ht="15.75" customHeight="1" x14ac:dyDescent="0.35">
      <c r="A41" s="136" t="s">
        <v>104</v>
      </c>
      <c r="B41" s="137">
        <f t="shared" ref="B41:M41" si="5">B39+B40</f>
        <v>31301.423621645954</v>
      </c>
      <c r="C41" s="137">
        <f t="shared" si="5"/>
        <v>35657.292668597409</v>
      </c>
      <c r="D41" s="137">
        <f t="shared" si="5"/>
        <v>37638.161715548864</v>
      </c>
      <c r="E41" s="137">
        <f t="shared" si="5"/>
        <v>41114.635681103609</v>
      </c>
      <c r="F41" s="137">
        <f t="shared" si="5"/>
        <v>45484.358894721729</v>
      </c>
      <c r="G41" s="137">
        <f t="shared" si="5"/>
        <v>47479.082108339848</v>
      </c>
      <c r="H41" s="137">
        <f t="shared" si="5"/>
        <v>51906.910240561258</v>
      </c>
      <c r="I41" s="137">
        <f t="shared" si="5"/>
        <v>57227.987620846041</v>
      </c>
      <c r="J41" s="137">
        <f t="shared" si="5"/>
        <v>60174.065001130824</v>
      </c>
      <c r="K41" s="137">
        <f t="shared" si="5"/>
        <v>64383.522521893901</v>
      </c>
      <c r="L41" s="137">
        <f t="shared" si="5"/>
        <v>69718.454068845356</v>
      </c>
      <c r="M41" s="138">
        <f t="shared" si="5"/>
        <v>72678.385615796811</v>
      </c>
      <c r="N41" s="25">
        <f t="shared" si="0"/>
        <v>614764.27975903149</v>
      </c>
    </row>
    <row r="42" spans="1:14" ht="15.75" customHeight="1" x14ac:dyDescent="0.35">
      <c r="A42" s="4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4" ht="15.75" customHeight="1" x14ac:dyDescent="0.35">
      <c r="A43" s="4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1:14" ht="15.75" customHeight="1" x14ac:dyDescent="0.35">
      <c r="A44" s="131" t="s">
        <v>103</v>
      </c>
      <c r="B44" s="132">
        <f t="shared" ref="B44:M44" si="6">(B6)*0.08256881</f>
        <v>1238.53215</v>
      </c>
      <c r="C44" s="132">
        <f t="shared" si="6"/>
        <v>1238.53215</v>
      </c>
      <c r="D44" s="132">
        <f t="shared" si="6"/>
        <v>1238.53215</v>
      </c>
      <c r="E44" s="132">
        <f t="shared" si="6"/>
        <v>1238.53215</v>
      </c>
      <c r="F44" s="132">
        <f t="shared" si="6"/>
        <v>1238.53215</v>
      </c>
      <c r="G44" s="132">
        <f t="shared" si="6"/>
        <v>1238.53215</v>
      </c>
      <c r="H44" s="132">
        <f t="shared" si="6"/>
        <v>1315.9404093750002</v>
      </c>
      <c r="I44" s="132">
        <f t="shared" si="6"/>
        <v>1315.9404093750002</v>
      </c>
      <c r="J44" s="132">
        <f t="shared" si="6"/>
        <v>1315.9404093750002</v>
      </c>
      <c r="K44" s="132">
        <f t="shared" si="6"/>
        <v>1315.9404093750002</v>
      </c>
      <c r="L44" s="132">
        <f t="shared" si="6"/>
        <v>1315.9404093750002</v>
      </c>
      <c r="M44" s="139">
        <f t="shared" si="6"/>
        <v>1315.9404093750002</v>
      </c>
    </row>
    <row r="45" spans="1:14" ht="15.75" customHeight="1" x14ac:dyDescent="0.35">
      <c r="A45" s="133" t="s">
        <v>102</v>
      </c>
      <c r="B45" s="140">
        <f t="shared" ref="B45:M45" si="7">((B15+B20+B21+B22)*0.1735537)+((B17)*0.08256881)</f>
        <v>940.78240064554166</v>
      </c>
      <c r="C45" s="140">
        <f t="shared" si="7"/>
        <v>940.78240064554166</v>
      </c>
      <c r="D45" s="140">
        <f t="shared" si="7"/>
        <v>940.78240064554166</v>
      </c>
      <c r="E45" s="140">
        <f t="shared" si="7"/>
        <v>940.78240064554166</v>
      </c>
      <c r="F45" s="140">
        <f t="shared" si="7"/>
        <v>940.78240064554166</v>
      </c>
      <c r="G45" s="140">
        <f t="shared" si="7"/>
        <v>940.78240064554166</v>
      </c>
      <c r="H45" s="140">
        <f t="shared" si="7"/>
        <v>940.78240064554166</v>
      </c>
      <c r="I45" s="140">
        <f t="shared" si="7"/>
        <v>940.78240064554166</v>
      </c>
      <c r="J45" s="140">
        <f t="shared" si="7"/>
        <v>940.78240064554166</v>
      </c>
      <c r="K45" s="140">
        <f t="shared" si="7"/>
        <v>940.78240064554166</v>
      </c>
      <c r="L45" s="140">
        <f t="shared" si="7"/>
        <v>940.78240064554166</v>
      </c>
      <c r="M45" s="135">
        <f t="shared" si="7"/>
        <v>940.78240064554166</v>
      </c>
    </row>
    <row r="46" spans="1:14" ht="15.75" customHeight="1" x14ac:dyDescent="0.35">
      <c r="A46" s="136" t="s">
        <v>101</v>
      </c>
      <c r="B46" s="137">
        <f t="shared" ref="B46:M46" si="8">B44-B45</f>
        <v>297.74974935445834</v>
      </c>
      <c r="C46" s="137">
        <f t="shared" si="8"/>
        <v>297.74974935445834</v>
      </c>
      <c r="D46" s="137">
        <f t="shared" si="8"/>
        <v>297.74974935445834</v>
      </c>
      <c r="E46" s="137">
        <f t="shared" si="8"/>
        <v>297.74974935445834</v>
      </c>
      <c r="F46" s="137">
        <f t="shared" si="8"/>
        <v>297.74974935445834</v>
      </c>
      <c r="G46" s="137">
        <f t="shared" si="8"/>
        <v>297.74974935445834</v>
      </c>
      <c r="H46" s="137">
        <f t="shared" si="8"/>
        <v>375.15800872945852</v>
      </c>
      <c r="I46" s="137">
        <f t="shared" si="8"/>
        <v>375.15800872945852</v>
      </c>
      <c r="J46" s="137">
        <f t="shared" si="8"/>
        <v>375.15800872945852</v>
      </c>
      <c r="K46" s="137">
        <f t="shared" si="8"/>
        <v>375.15800872945852</v>
      </c>
      <c r="L46" s="137">
        <f t="shared" si="8"/>
        <v>375.15800872945852</v>
      </c>
      <c r="M46" s="138">
        <f t="shared" si="8"/>
        <v>375.15800872945852</v>
      </c>
    </row>
    <row r="47" spans="1:14" ht="18" x14ac:dyDescent="0.35">
      <c r="A47" s="46"/>
      <c r="B47" s="46"/>
      <c r="C47" s="46"/>
      <c r="D47" s="141"/>
      <c r="E47" s="141"/>
      <c r="F47" s="141"/>
      <c r="G47" s="141"/>
      <c r="H47" s="141"/>
      <c r="I47" s="141"/>
      <c r="J47" s="141"/>
      <c r="K47" s="141"/>
      <c r="L47" s="141"/>
      <c r="M47" s="141"/>
    </row>
    <row r="48" spans="1:14" ht="18" x14ac:dyDescent="0.35">
      <c r="A48" s="46"/>
      <c r="B48" s="46"/>
      <c r="C48" s="46"/>
      <c r="D48" s="141"/>
      <c r="E48" s="141"/>
      <c r="F48" s="141"/>
      <c r="G48" s="141"/>
      <c r="H48" s="141"/>
      <c r="I48" s="141"/>
      <c r="J48" s="141"/>
      <c r="K48" s="141"/>
      <c r="L48" s="141"/>
      <c r="M48" s="141"/>
    </row>
    <row r="49" spans="1:13" ht="18" x14ac:dyDescent="0.3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18" x14ac:dyDescent="0.35">
      <c r="A50" s="46"/>
      <c r="E50" s="46"/>
      <c r="F50" s="31"/>
      <c r="G50" s="46"/>
      <c r="H50" s="46"/>
      <c r="I50" s="46"/>
      <c r="J50" s="46"/>
      <c r="K50" s="46"/>
      <c r="L50" s="46"/>
      <c r="M50" s="46"/>
    </row>
    <row r="51" spans="1:13" ht="18" x14ac:dyDescent="0.35">
      <c r="A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8" x14ac:dyDescent="0.35">
      <c r="A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 ht="18" x14ac:dyDescent="0.35">
      <c r="A53" s="46"/>
      <c r="E53" s="46"/>
      <c r="F53" s="46"/>
      <c r="G53" s="46"/>
      <c r="H53" s="46"/>
      <c r="I53" s="46"/>
      <c r="J53" s="46"/>
      <c r="K53" s="46"/>
      <c r="L53" s="46"/>
      <c r="M53" s="46"/>
    </row>
    <row r="62" spans="1:13" x14ac:dyDescent="0.2">
      <c r="D62" s="24"/>
      <c r="E62" s="24"/>
      <c r="F62" s="24"/>
    </row>
    <row r="67" spans="4:6" x14ac:dyDescent="0.2">
      <c r="D67" s="24"/>
      <c r="E67" s="24"/>
      <c r="F67" s="24"/>
    </row>
    <row r="95" spans="4:5" ht="15.75" x14ac:dyDescent="0.25">
      <c r="D95" s="23"/>
      <c r="E95" s="22"/>
    </row>
    <row r="102" spans="4:6" x14ac:dyDescent="0.2">
      <c r="D102" s="21"/>
      <c r="E102" s="21"/>
      <c r="F102" s="21"/>
    </row>
  </sheetData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2"/>
  <sheetViews>
    <sheetView tabSelected="1" zoomScale="110" zoomScaleNormal="110" zoomScalePageLayoutView="80" workbookViewId="0">
      <selection activeCell="A3" sqref="A3:M41"/>
    </sheetView>
  </sheetViews>
  <sheetFormatPr defaultColWidth="10.140625" defaultRowHeight="12.75" x14ac:dyDescent="0.2"/>
  <cols>
    <col min="1" max="1" width="52" style="1" bestFit="1" customWidth="1"/>
    <col min="2" max="13" width="9.85546875" style="1" customWidth="1"/>
    <col min="14" max="14" width="14.140625" style="1" hidden="1" customWidth="1"/>
    <col min="15" max="15" width="6" style="1" customWidth="1"/>
    <col min="16" max="16" width="21.85546875" style="1" bestFit="1" customWidth="1"/>
    <col min="17" max="16384" width="10.140625" style="1"/>
  </cols>
  <sheetData>
    <row r="1" spans="1:17" ht="34.5" customHeight="1" x14ac:dyDescent="0.55000000000000004">
      <c r="A1" s="44" t="s">
        <v>121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7" ht="15.75" customHeight="1" x14ac:dyDescent="0.35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7" ht="15.75" customHeight="1" x14ac:dyDescent="0.35">
      <c r="A3" s="81"/>
      <c r="B3" s="82">
        <v>1</v>
      </c>
      <c r="C3" s="82">
        <v>2</v>
      </c>
      <c r="D3" s="82">
        <v>3</v>
      </c>
      <c r="E3" s="82">
        <v>4</v>
      </c>
      <c r="F3" s="82">
        <v>5</v>
      </c>
      <c r="G3" s="82">
        <v>6</v>
      </c>
      <c r="H3" s="82">
        <v>7</v>
      </c>
      <c r="I3" s="82">
        <v>8</v>
      </c>
      <c r="J3" s="82">
        <v>9</v>
      </c>
      <c r="K3" s="82">
        <v>10</v>
      </c>
      <c r="L3" s="82">
        <v>11</v>
      </c>
      <c r="M3" s="92">
        <v>12</v>
      </c>
      <c r="O3" s="9"/>
      <c r="P3" s="142" t="s">
        <v>100</v>
      </c>
      <c r="Q3" s="143"/>
    </row>
    <row r="4" spans="1:17" ht="15.75" customHeight="1" x14ac:dyDescent="0.35">
      <c r="A4" s="51" t="s">
        <v>134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  <c r="P4" s="144" t="s">
        <v>99</v>
      </c>
      <c r="Q4" s="145">
        <f>'Liquiditeit Jaar 2'!Q4</f>
        <v>47500</v>
      </c>
    </row>
    <row r="5" spans="1:17" ht="15.75" customHeight="1" x14ac:dyDescent="0.35">
      <c r="A5" s="108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2"/>
      <c r="P5" s="144" t="s">
        <v>98</v>
      </c>
      <c r="Q5" s="145">
        <f>'Liquiditeit Jaar 2'!Q5</f>
        <v>2375</v>
      </c>
    </row>
    <row r="6" spans="1:17" s="37" customFormat="1" ht="15.6" customHeight="1" x14ac:dyDescent="0.35">
      <c r="A6" s="108" t="str">
        <f>Exploitatie!A6</f>
        <v xml:space="preserve">Omzet </v>
      </c>
      <c r="B6" s="111">
        <f>Exploitatie!G18*1.09</f>
        <v>17977.5</v>
      </c>
      <c r="C6" s="111">
        <f>Exploitatie!H18*1.09</f>
        <v>17977.5</v>
      </c>
      <c r="D6" s="111">
        <f>Exploitatie!I18*1.09</f>
        <v>17977.5</v>
      </c>
      <c r="E6" s="111">
        <f>Exploitatie!J18*1.09</f>
        <v>17977.5</v>
      </c>
      <c r="F6" s="111">
        <f>Exploitatie!K18*1.09</f>
        <v>17977.5</v>
      </c>
      <c r="G6" s="111">
        <f>Exploitatie!L18*1.09</f>
        <v>17977.5</v>
      </c>
      <c r="H6" s="111">
        <f>Exploitatie!M18*1.09</f>
        <v>17977.5</v>
      </c>
      <c r="I6" s="111">
        <f>Exploitatie!N18*1.09</f>
        <v>17977.5</v>
      </c>
      <c r="J6" s="111">
        <f>Exploitatie!O18*1.09</f>
        <v>17977.5</v>
      </c>
      <c r="K6" s="111">
        <f>Exploitatie!P18*1.09</f>
        <v>17977.5</v>
      </c>
      <c r="L6" s="111">
        <f>Exploitatie!Q18*1.09</f>
        <v>17977.5</v>
      </c>
      <c r="M6" s="112">
        <f>Exploitatie!R18*1.09</f>
        <v>17977.5</v>
      </c>
      <c r="N6" s="25">
        <f t="shared" ref="N6:N41" si="0">SUM(B6:M6)</f>
        <v>215730</v>
      </c>
      <c r="P6" s="146" t="s">
        <v>97</v>
      </c>
      <c r="Q6" s="147">
        <f>'Liquiditeit Jaar 2'!Q6</f>
        <v>7.0000000000000007E-2</v>
      </c>
    </row>
    <row r="7" spans="1:17" ht="15.75" customHeight="1" x14ac:dyDescent="0.25">
      <c r="A7" s="2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29"/>
      <c r="N7" s="25">
        <f t="shared" si="0"/>
        <v>0</v>
      </c>
      <c r="P7" s="36"/>
      <c r="Q7" s="32"/>
    </row>
    <row r="8" spans="1:17" ht="15.75" customHeight="1" x14ac:dyDescent="0.35">
      <c r="A8" s="108" t="s">
        <v>70</v>
      </c>
      <c r="B8" s="111">
        <v>0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2">
        <v>0</v>
      </c>
      <c r="N8" s="25">
        <f t="shared" si="0"/>
        <v>0</v>
      </c>
      <c r="P8" s="36"/>
      <c r="Q8" s="32"/>
    </row>
    <row r="9" spans="1:17" ht="15.75" customHeight="1" x14ac:dyDescent="0.35">
      <c r="A9" s="108" t="s">
        <v>118</v>
      </c>
      <c r="B9" s="111">
        <v>0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2">
        <v>0</v>
      </c>
      <c r="N9" s="25">
        <f t="shared" si="0"/>
        <v>0</v>
      </c>
      <c r="P9" s="36"/>
      <c r="Q9" s="32"/>
    </row>
    <row r="10" spans="1:17" ht="15.75" customHeight="1" x14ac:dyDescent="0.35">
      <c r="A10" s="108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  <c r="N10" s="25">
        <f t="shared" si="0"/>
        <v>0</v>
      </c>
      <c r="P10" s="32"/>
      <c r="Q10" s="32"/>
    </row>
    <row r="11" spans="1:17" s="34" customFormat="1" ht="15.75" customHeight="1" x14ac:dyDescent="0.35">
      <c r="A11" s="51" t="s">
        <v>117</v>
      </c>
      <c r="B11" s="113">
        <f t="shared" ref="B11:M11" si="1">SUM(B6:B9)</f>
        <v>17977.5</v>
      </c>
      <c r="C11" s="113">
        <f t="shared" si="1"/>
        <v>17977.5</v>
      </c>
      <c r="D11" s="113">
        <f t="shared" si="1"/>
        <v>17977.5</v>
      </c>
      <c r="E11" s="113">
        <f t="shared" si="1"/>
        <v>17977.5</v>
      </c>
      <c r="F11" s="113">
        <f t="shared" si="1"/>
        <v>17977.5</v>
      </c>
      <c r="G11" s="113">
        <f t="shared" si="1"/>
        <v>17977.5</v>
      </c>
      <c r="H11" s="113">
        <f t="shared" si="1"/>
        <v>17977.5</v>
      </c>
      <c r="I11" s="113">
        <f t="shared" si="1"/>
        <v>17977.5</v>
      </c>
      <c r="J11" s="113">
        <f t="shared" si="1"/>
        <v>17977.5</v>
      </c>
      <c r="K11" s="113">
        <f t="shared" si="1"/>
        <v>17977.5</v>
      </c>
      <c r="L11" s="113">
        <f t="shared" si="1"/>
        <v>17977.5</v>
      </c>
      <c r="M11" s="114">
        <f t="shared" si="1"/>
        <v>17977.5</v>
      </c>
      <c r="N11" s="25">
        <f t="shared" si="0"/>
        <v>215730</v>
      </c>
      <c r="P11" s="35"/>
      <c r="Q11" s="35"/>
    </row>
    <row r="12" spans="1:17" ht="15.75" customHeight="1" x14ac:dyDescent="0.25">
      <c r="A12" s="28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6"/>
      <c r="N12" s="25">
        <f t="shared" si="0"/>
        <v>0</v>
      </c>
      <c r="P12" s="32"/>
      <c r="Q12" s="32"/>
    </row>
    <row r="13" spans="1:17" s="34" customFormat="1" ht="15.75" customHeight="1" x14ac:dyDescent="0.35">
      <c r="A13" s="51" t="s">
        <v>135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4"/>
      <c r="N13" s="25">
        <f t="shared" si="0"/>
        <v>0</v>
      </c>
      <c r="P13" s="35"/>
      <c r="Q13" s="35"/>
    </row>
    <row r="14" spans="1:17" ht="15.75" customHeight="1" x14ac:dyDescent="0.3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N14" s="25">
        <f t="shared" si="0"/>
        <v>0</v>
      </c>
      <c r="P14" s="32"/>
      <c r="Q14" s="32"/>
    </row>
    <row r="15" spans="1:17" ht="15.75" customHeight="1" x14ac:dyDescent="0.35">
      <c r="A15" s="119" t="s">
        <v>116</v>
      </c>
      <c r="B15" s="120">
        <v>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1">
        <v>0</v>
      </c>
      <c r="N15" s="25">
        <f t="shared" si="0"/>
        <v>0</v>
      </c>
      <c r="P15" s="32"/>
      <c r="Q15" s="32"/>
    </row>
    <row r="16" spans="1:17" ht="15.75" customHeight="1" x14ac:dyDescent="0.35">
      <c r="A16" s="122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1"/>
      <c r="N16" s="25">
        <f t="shared" si="0"/>
        <v>0</v>
      </c>
      <c r="P16" s="32"/>
      <c r="Q16" s="32"/>
    </row>
    <row r="17" spans="1:17" ht="15.75" customHeight="1" x14ac:dyDescent="0.35">
      <c r="A17" s="119" t="str">
        <f>Exploitatie!A12</f>
        <v>Werk derden (ZZP)</v>
      </c>
      <c r="B17" s="120">
        <f>Exploitatie!$D$12/12*1.09</f>
        <v>515.02500000000009</v>
      </c>
      <c r="C17" s="120">
        <f>Exploitatie!$D$12/12*1.09</f>
        <v>515.02500000000009</v>
      </c>
      <c r="D17" s="120">
        <f>Exploitatie!$D$12/12*1.09</f>
        <v>515.02500000000009</v>
      </c>
      <c r="E17" s="120">
        <f>Exploitatie!$D$12/12*1.09</f>
        <v>515.02500000000009</v>
      </c>
      <c r="F17" s="120">
        <f>Exploitatie!$D$12/12*1.09</f>
        <v>515.02500000000009</v>
      </c>
      <c r="G17" s="120">
        <f>Exploitatie!$D$12/12*1.09</f>
        <v>515.02500000000009</v>
      </c>
      <c r="H17" s="120">
        <f>Exploitatie!$D$12/12*1.09</f>
        <v>515.02500000000009</v>
      </c>
      <c r="I17" s="120">
        <f>Exploitatie!$D$12/12*1.09</f>
        <v>515.02500000000009</v>
      </c>
      <c r="J17" s="120">
        <f>Exploitatie!$D$12/12*1.09</f>
        <v>515.02500000000009</v>
      </c>
      <c r="K17" s="120">
        <f>Exploitatie!$D$12/12*1.09</f>
        <v>515.02500000000009</v>
      </c>
      <c r="L17" s="120">
        <f>Exploitatie!$D$12/12*1.09</f>
        <v>515.02500000000009</v>
      </c>
      <c r="M17" s="121">
        <f>Exploitatie!$D$12/12*1.09</f>
        <v>515.02500000000009</v>
      </c>
      <c r="N17" s="25">
        <f t="shared" si="0"/>
        <v>6180.2999999999993</v>
      </c>
      <c r="P17" s="33"/>
      <c r="Q17" s="32"/>
    </row>
    <row r="18" spans="1:17" ht="15.75" customHeight="1" x14ac:dyDescent="0.35">
      <c r="A18" s="122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  <c r="N18" s="25">
        <f t="shared" si="0"/>
        <v>0</v>
      </c>
      <c r="P18" s="33"/>
      <c r="Q18" s="32"/>
    </row>
    <row r="19" spans="1:17" ht="15.75" customHeight="1" x14ac:dyDescent="0.35">
      <c r="A19" s="119" t="s">
        <v>115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4"/>
      <c r="N19" s="25">
        <f t="shared" si="0"/>
        <v>0</v>
      </c>
      <c r="P19" s="33"/>
      <c r="Q19" s="32"/>
    </row>
    <row r="20" spans="1:17" ht="15.75" customHeight="1" x14ac:dyDescent="0.35">
      <c r="A20" s="108" t="str">
        <f>'Liquiditeit Jaar 1'!A20</f>
        <v>Inventaris- en kantoorkosten</v>
      </c>
      <c r="B20" s="120">
        <f>Exploitatie!$D$85/12*1.21</f>
        <v>619.25783333333322</v>
      </c>
      <c r="C20" s="120">
        <f>Exploitatie!$D$85/12*1.21</f>
        <v>619.25783333333322</v>
      </c>
      <c r="D20" s="120">
        <f>Exploitatie!$D$85/12*1.21</f>
        <v>619.25783333333322</v>
      </c>
      <c r="E20" s="120">
        <f>Exploitatie!$D$85/12*1.21</f>
        <v>619.25783333333322</v>
      </c>
      <c r="F20" s="120">
        <f>Exploitatie!$D$85/12*1.21</f>
        <v>619.25783333333322</v>
      </c>
      <c r="G20" s="120">
        <f>Exploitatie!$D$85/12*1.21</f>
        <v>619.25783333333322</v>
      </c>
      <c r="H20" s="120">
        <f>Exploitatie!$D$85/12*1.21</f>
        <v>619.25783333333322</v>
      </c>
      <c r="I20" s="120">
        <f>Exploitatie!$D$85/12*1.21</f>
        <v>619.25783333333322</v>
      </c>
      <c r="J20" s="120">
        <f>Exploitatie!$D$85/12*1.21</f>
        <v>619.25783333333322</v>
      </c>
      <c r="K20" s="120">
        <f>Exploitatie!$D$85/12*1.21</f>
        <v>619.25783333333322</v>
      </c>
      <c r="L20" s="120">
        <f>Exploitatie!$D$85/12*1.21</f>
        <v>619.25783333333322</v>
      </c>
      <c r="M20" s="121">
        <f>Exploitatie!$D$85/12*1.21</f>
        <v>619.25783333333322</v>
      </c>
      <c r="N20" s="25">
        <f t="shared" si="0"/>
        <v>7431.0939999999982</v>
      </c>
      <c r="P20" s="32"/>
      <c r="Q20" s="32"/>
    </row>
    <row r="21" spans="1:17" ht="15.75" customHeight="1" x14ac:dyDescent="0.35">
      <c r="A21" s="108" t="str">
        <f>'Liquiditeit Jaar 1'!A21</f>
        <v>Huisvestingskosten</v>
      </c>
      <c r="B21" s="120">
        <f>Exploitatie!$D$86/12*1.21</f>
        <v>3829.1054999999997</v>
      </c>
      <c r="C21" s="120">
        <f>Exploitatie!$D$86/12*1.21</f>
        <v>3829.1054999999997</v>
      </c>
      <c r="D21" s="120">
        <f>Exploitatie!$D$86/12*1.21</f>
        <v>3829.1054999999997</v>
      </c>
      <c r="E21" s="120">
        <f>Exploitatie!$D$86/12*1.21</f>
        <v>3829.1054999999997</v>
      </c>
      <c r="F21" s="120">
        <f>Exploitatie!$D$86/12*1.21</f>
        <v>3829.1054999999997</v>
      </c>
      <c r="G21" s="120">
        <f>Exploitatie!$D$86/12*1.21</f>
        <v>3829.1054999999997</v>
      </c>
      <c r="H21" s="120">
        <f>Exploitatie!$D$86/12*1.21</f>
        <v>3829.1054999999997</v>
      </c>
      <c r="I21" s="120">
        <f>Exploitatie!$D$86/12*1.21</f>
        <v>3829.1054999999997</v>
      </c>
      <c r="J21" s="120">
        <f>Exploitatie!$D$86/12*1.21</f>
        <v>3829.1054999999997</v>
      </c>
      <c r="K21" s="120">
        <f>Exploitatie!$D$86/12*1.21</f>
        <v>3829.1054999999997</v>
      </c>
      <c r="L21" s="120">
        <f>Exploitatie!$D$86/12*1.21</f>
        <v>3829.1054999999997</v>
      </c>
      <c r="M21" s="121">
        <f>Exploitatie!$D$86/12*1.21</f>
        <v>3829.1054999999997</v>
      </c>
      <c r="N21" s="25">
        <f t="shared" si="0"/>
        <v>45949.265999999981</v>
      </c>
      <c r="P21" s="32"/>
      <c r="Q21" s="32"/>
    </row>
    <row r="22" spans="1:17" ht="15.75" customHeight="1" x14ac:dyDescent="0.35">
      <c r="A22" s="108" t="str">
        <f>'Liquiditeit Jaar 1'!A22</f>
        <v>Verkoopkosten</v>
      </c>
      <c r="B22" s="120">
        <f>Exploitatie!$D$87/12*1.21</f>
        <v>1134.2217333333333</v>
      </c>
      <c r="C22" s="120">
        <f>Exploitatie!$D$87/12*1.21</f>
        <v>1134.2217333333333</v>
      </c>
      <c r="D22" s="120">
        <f>Exploitatie!$D$87/12*1.21</f>
        <v>1134.2217333333333</v>
      </c>
      <c r="E22" s="120">
        <f>Exploitatie!$D$87/12*1.21</f>
        <v>1134.2217333333333</v>
      </c>
      <c r="F22" s="120">
        <f>Exploitatie!$D$87/12*1.21</f>
        <v>1134.2217333333333</v>
      </c>
      <c r="G22" s="120">
        <f>Exploitatie!$D$87/12*1.21</f>
        <v>1134.2217333333333</v>
      </c>
      <c r="H22" s="120">
        <f>Exploitatie!$D$87/12*1.21</f>
        <v>1134.2217333333333</v>
      </c>
      <c r="I22" s="120">
        <f>Exploitatie!$D$87/12*1.21</f>
        <v>1134.2217333333333</v>
      </c>
      <c r="J22" s="120">
        <f>Exploitatie!$D$87/12*1.21</f>
        <v>1134.2217333333333</v>
      </c>
      <c r="K22" s="120">
        <f>Exploitatie!$D$87/12*1.21</f>
        <v>1134.2217333333333</v>
      </c>
      <c r="L22" s="120">
        <f>Exploitatie!$D$87/12*1.21</f>
        <v>1134.2217333333333</v>
      </c>
      <c r="M22" s="121">
        <f>Exploitatie!$D$87/12*1.21</f>
        <v>1134.2217333333333</v>
      </c>
      <c r="N22" s="25">
        <f t="shared" si="0"/>
        <v>13610.660800000003</v>
      </c>
      <c r="P22" s="32"/>
      <c r="Q22" s="32"/>
    </row>
    <row r="23" spans="1:17" ht="15.75" customHeight="1" x14ac:dyDescent="0.35">
      <c r="A23" s="108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1"/>
      <c r="N23" s="25">
        <f t="shared" si="0"/>
        <v>0</v>
      </c>
      <c r="P23" s="32"/>
      <c r="Q23" s="32"/>
    </row>
    <row r="24" spans="1:17" ht="15.75" customHeight="1" x14ac:dyDescent="0.35">
      <c r="A24" s="125" t="s">
        <v>114</v>
      </c>
      <c r="B24" s="120">
        <v>2000</v>
      </c>
      <c r="C24" s="120">
        <v>2000</v>
      </c>
      <c r="D24" s="120">
        <v>2000</v>
      </c>
      <c r="E24" s="120">
        <v>2000</v>
      </c>
      <c r="F24" s="120">
        <v>2000</v>
      </c>
      <c r="G24" s="120">
        <v>2000</v>
      </c>
      <c r="H24" s="120">
        <v>2000</v>
      </c>
      <c r="I24" s="120">
        <v>2000</v>
      </c>
      <c r="J24" s="120">
        <v>2000</v>
      </c>
      <c r="K24" s="120">
        <v>2000</v>
      </c>
      <c r="L24" s="120">
        <v>2000</v>
      </c>
      <c r="M24" s="121">
        <v>2000</v>
      </c>
      <c r="N24" s="25">
        <f t="shared" si="0"/>
        <v>24000</v>
      </c>
      <c r="P24" s="32"/>
      <c r="Q24" s="32"/>
    </row>
    <row r="25" spans="1:17" ht="15.75" customHeight="1" x14ac:dyDescent="0.35">
      <c r="A25" s="108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1"/>
      <c r="N25" s="25">
        <f t="shared" si="0"/>
        <v>0</v>
      </c>
      <c r="P25" s="32"/>
      <c r="Q25" s="32"/>
    </row>
    <row r="26" spans="1:17" ht="15.75" customHeight="1" x14ac:dyDescent="0.35">
      <c r="A26" s="125" t="s">
        <v>113</v>
      </c>
      <c r="B26" s="120"/>
      <c r="C26" s="120"/>
      <c r="D26" s="120"/>
      <c r="E26" s="126"/>
      <c r="F26" s="120"/>
      <c r="G26" s="120"/>
      <c r="H26" s="120"/>
      <c r="I26" s="120"/>
      <c r="J26" s="120"/>
      <c r="K26" s="120"/>
      <c r="L26" s="120"/>
      <c r="M26" s="121"/>
      <c r="N26" s="25">
        <f t="shared" si="0"/>
        <v>0</v>
      </c>
    </row>
    <row r="27" spans="1:17" ht="15.75" customHeight="1" x14ac:dyDescent="0.35">
      <c r="A27" s="108" t="s">
        <v>112</v>
      </c>
      <c r="B27" s="120">
        <v>0</v>
      </c>
      <c r="C27" s="120">
        <v>0</v>
      </c>
      <c r="D27" s="120">
        <f>Q5</f>
        <v>2375</v>
      </c>
      <c r="E27" s="120">
        <v>0</v>
      </c>
      <c r="F27" s="120">
        <v>0</v>
      </c>
      <c r="G27" s="120">
        <f>Q5</f>
        <v>2375</v>
      </c>
      <c r="H27" s="120">
        <v>0</v>
      </c>
      <c r="I27" s="120">
        <v>0</v>
      </c>
      <c r="J27" s="120">
        <f>Q5</f>
        <v>2375</v>
      </c>
      <c r="K27" s="120">
        <v>0</v>
      </c>
      <c r="L27" s="120">
        <v>0</v>
      </c>
      <c r="M27" s="121">
        <f>Q5</f>
        <v>2375</v>
      </c>
      <c r="N27" s="25">
        <f t="shared" si="0"/>
        <v>9500</v>
      </c>
    </row>
    <row r="28" spans="1:17" ht="15.75" customHeight="1" x14ac:dyDescent="0.35">
      <c r="A28" s="108" t="s">
        <v>111</v>
      </c>
      <c r="B28" s="120">
        <f>(($Q4-8*$Q5)*$Q6)/12</f>
        <v>166.25000000000003</v>
      </c>
      <c r="C28" s="120">
        <f>(($Q4-8*$Q5)*$Q6)/12</f>
        <v>166.25000000000003</v>
      </c>
      <c r="D28" s="120">
        <f>(($Q4-8*$Q5)*$Q6)/12</f>
        <v>166.25000000000003</v>
      </c>
      <c r="E28" s="120">
        <f>(($Q4-9*$Q5)*$Q6)/12</f>
        <v>152.39583333333334</v>
      </c>
      <c r="F28" s="120">
        <f>(($Q4-9*$Q5)*$Q6)/12</f>
        <v>152.39583333333334</v>
      </c>
      <c r="G28" s="120">
        <f>(($Q4-9*$Q5)*$Q6)/12</f>
        <v>152.39583333333334</v>
      </c>
      <c r="H28" s="120">
        <f>(($Q4-10*$Q5)*$Q6)/12</f>
        <v>138.54166666666669</v>
      </c>
      <c r="I28" s="120">
        <f>(($Q4-10*$Q5)*$Q6)/12</f>
        <v>138.54166666666669</v>
      </c>
      <c r="J28" s="120">
        <f>(($Q4-10*$Q5)*$Q6)/12</f>
        <v>138.54166666666669</v>
      </c>
      <c r="K28" s="120">
        <f>(($Q4-11*$Q5)*$Q6)/12</f>
        <v>124.68750000000001</v>
      </c>
      <c r="L28" s="120">
        <f>(($Q4-11*$Q5)*$Q6)/12</f>
        <v>124.68750000000001</v>
      </c>
      <c r="M28" s="121">
        <f>(($Q4-11*$Q5)*$Q6)/12</f>
        <v>124.68750000000001</v>
      </c>
      <c r="N28" s="25">
        <f t="shared" si="0"/>
        <v>1745.6250000000005</v>
      </c>
    </row>
    <row r="29" spans="1:17" ht="15.75" customHeight="1" x14ac:dyDescent="0.35">
      <c r="A29" s="108" t="str">
        <f>'Liquiditeit Jaar 2'!A29</f>
        <v>Rentekosten kort vreemd vermogen</v>
      </c>
      <c r="B29" s="120">
        <v>0</v>
      </c>
      <c r="C29" s="120">
        <v>0</v>
      </c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1">
        <v>0</v>
      </c>
      <c r="N29" s="25">
        <f t="shared" si="0"/>
        <v>0</v>
      </c>
    </row>
    <row r="30" spans="1:17" ht="15.75" customHeight="1" x14ac:dyDescent="0.35">
      <c r="A30" s="108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  <c r="N30" s="25">
        <f t="shared" si="0"/>
        <v>0</v>
      </c>
    </row>
    <row r="31" spans="1:17" ht="15.75" customHeight="1" x14ac:dyDescent="0.35">
      <c r="A31" s="125" t="s">
        <v>109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1"/>
      <c r="N31" s="25">
        <f t="shared" si="0"/>
        <v>0</v>
      </c>
    </row>
    <row r="32" spans="1:17" ht="15.75" customHeight="1" x14ac:dyDescent="0.35">
      <c r="A32" s="108" t="str">
        <f>'Liquiditeit Jaar 2'!A32</f>
        <v>IB/PH</v>
      </c>
      <c r="B32" s="120">
        <f>Exploitatie!$D$59/12</f>
        <v>3392.3756383513009</v>
      </c>
      <c r="C32" s="120">
        <f>Exploitatie!$D$59/12</f>
        <v>3392.3756383513009</v>
      </c>
      <c r="D32" s="120">
        <f>Exploitatie!$D$59/12</f>
        <v>3392.3756383513009</v>
      </c>
      <c r="E32" s="120">
        <f>Exploitatie!$D$59/12</f>
        <v>3392.3756383513009</v>
      </c>
      <c r="F32" s="120">
        <f>Exploitatie!$D$59/12</f>
        <v>3392.3756383513009</v>
      </c>
      <c r="G32" s="120">
        <f>Exploitatie!$D$59/12</f>
        <v>3392.3756383513009</v>
      </c>
      <c r="H32" s="120">
        <f>Exploitatie!$D$59/12</f>
        <v>3392.3756383513009</v>
      </c>
      <c r="I32" s="120">
        <f>Exploitatie!$D$59/12</f>
        <v>3392.3756383513009</v>
      </c>
      <c r="J32" s="120">
        <f>Exploitatie!$D$59/12</f>
        <v>3392.3756383513009</v>
      </c>
      <c r="K32" s="120">
        <f>Exploitatie!$D$59/12</f>
        <v>3392.3756383513009</v>
      </c>
      <c r="L32" s="120">
        <f>Exploitatie!$D$59/12</f>
        <v>3392.3756383513009</v>
      </c>
      <c r="M32" s="121">
        <f>Exploitatie!$D$59/12</f>
        <v>3392.3756383513009</v>
      </c>
      <c r="N32" s="25">
        <f t="shared" si="0"/>
        <v>40708.507660215626</v>
      </c>
    </row>
    <row r="33" spans="1:14" ht="15.75" customHeight="1" x14ac:dyDescent="0.35">
      <c r="A33" s="108" t="str">
        <f>'Liquiditeit Jaar 2'!A33</f>
        <v>Zvw</v>
      </c>
      <c r="B33" s="120">
        <f>Exploitatie!$D$60/12</f>
        <v>259.91666666666669</v>
      </c>
      <c r="C33" s="120">
        <f>Exploitatie!$D$60/12</f>
        <v>259.91666666666669</v>
      </c>
      <c r="D33" s="120">
        <f>Exploitatie!$D$60/12</f>
        <v>259.91666666666669</v>
      </c>
      <c r="E33" s="120">
        <f>Exploitatie!$D$60/12</f>
        <v>259.91666666666669</v>
      </c>
      <c r="F33" s="120">
        <f>Exploitatie!$D$60/12</f>
        <v>259.91666666666669</v>
      </c>
      <c r="G33" s="120">
        <f>Exploitatie!$D$60/12</f>
        <v>259.91666666666669</v>
      </c>
      <c r="H33" s="120">
        <f>Exploitatie!$D$60/12</f>
        <v>259.91666666666669</v>
      </c>
      <c r="I33" s="120">
        <f>Exploitatie!$D$60/12</f>
        <v>259.91666666666669</v>
      </c>
      <c r="J33" s="120">
        <f>Exploitatie!$D$60/12</f>
        <v>259.91666666666669</v>
      </c>
      <c r="K33" s="120">
        <f>Exploitatie!$D$60/12</f>
        <v>259.91666666666669</v>
      </c>
      <c r="L33" s="120">
        <f>Exploitatie!$D$60/12</f>
        <v>259.91666666666669</v>
      </c>
      <c r="M33" s="121">
        <f>Exploitatie!$D$60/12</f>
        <v>259.91666666666669</v>
      </c>
      <c r="N33" s="25">
        <f t="shared" si="0"/>
        <v>3118.9999999999995</v>
      </c>
    </row>
    <row r="34" spans="1:14" ht="15.75" customHeight="1" x14ac:dyDescent="0.35">
      <c r="A34" s="108" t="s">
        <v>108</v>
      </c>
      <c r="B34" s="111">
        <f>SUM('Liquiditeit Jaar 2'!K46:M46)</f>
        <v>1125.4740261883755</v>
      </c>
      <c r="C34" s="111">
        <v>0</v>
      </c>
      <c r="D34" s="111">
        <v>0</v>
      </c>
      <c r="E34" s="111">
        <f>SUM(B46:D46)</f>
        <v>1418.9324595600101</v>
      </c>
      <c r="F34" s="111">
        <v>0</v>
      </c>
      <c r="G34" s="111">
        <v>0</v>
      </c>
      <c r="H34" s="111">
        <f>SUM(E46:G46)</f>
        <v>1418.9324595600101</v>
      </c>
      <c r="I34" s="111">
        <v>0</v>
      </c>
      <c r="J34" s="111">
        <v>0</v>
      </c>
      <c r="K34" s="111">
        <f>SUM(H46:J46)</f>
        <v>1418.9324595600101</v>
      </c>
      <c r="L34" s="111">
        <v>0</v>
      </c>
      <c r="M34" s="112">
        <v>0</v>
      </c>
      <c r="N34" s="25">
        <f t="shared" si="0"/>
        <v>5382.2714048684056</v>
      </c>
    </row>
    <row r="35" spans="1:14" ht="15.75" customHeight="1" x14ac:dyDescent="0.25">
      <c r="A35" s="2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6"/>
      <c r="N35" s="25">
        <f t="shared" si="0"/>
        <v>0</v>
      </c>
    </row>
    <row r="36" spans="1:14" ht="15.75" customHeight="1" x14ac:dyDescent="0.35">
      <c r="A36" s="51" t="s">
        <v>107</v>
      </c>
      <c r="B36" s="113">
        <f t="shared" ref="B36:M36" si="2">SUM(B15:B35)</f>
        <v>13041.626397873009</v>
      </c>
      <c r="C36" s="113">
        <f t="shared" si="2"/>
        <v>11916.152371684633</v>
      </c>
      <c r="D36" s="113">
        <f t="shared" si="2"/>
        <v>14291.152371684633</v>
      </c>
      <c r="E36" s="113">
        <f t="shared" si="2"/>
        <v>13321.230664577977</v>
      </c>
      <c r="F36" s="113">
        <f t="shared" si="2"/>
        <v>11902.298205017967</v>
      </c>
      <c r="G36" s="113">
        <f t="shared" si="2"/>
        <v>14277.298205017967</v>
      </c>
      <c r="H36" s="113">
        <f t="shared" si="2"/>
        <v>13307.376497911309</v>
      </c>
      <c r="I36" s="113">
        <f t="shared" si="2"/>
        <v>11888.444038351299</v>
      </c>
      <c r="J36" s="113">
        <f t="shared" si="2"/>
        <v>14263.444038351299</v>
      </c>
      <c r="K36" s="113">
        <f t="shared" si="2"/>
        <v>13293.522331244643</v>
      </c>
      <c r="L36" s="113">
        <f t="shared" si="2"/>
        <v>11874.589871684633</v>
      </c>
      <c r="M36" s="114">
        <f t="shared" si="2"/>
        <v>14249.589871684633</v>
      </c>
      <c r="N36" s="25">
        <f t="shared" si="0"/>
        <v>157626.72486508402</v>
      </c>
    </row>
    <row r="37" spans="1:14" ht="15.75" customHeight="1" x14ac:dyDescent="0.35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87"/>
      <c r="N37" s="25">
        <f t="shared" si="0"/>
        <v>0</v>
      </c>
    </row>
    <row r="38" spans="1:14" ht="15.75" customHeight="1" x14ac:dyDescent="0.35">
      <c r="A38" s="108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30"/>
      <c r="N38" s="25">
        <f t="shared" si="0"/>
        <v>0</v>
      </c>
    </row>
    <row r="39" spans="1:14" ht="15.75" customHeight="1" x14ac:dyDescent="0.35">
      <c r="A39" s="131" t="s">
        <v>106</v>
      </c>
      <c r="B39" s="132">
        <f>'Liquiditeit Jaar 2'!M41</f>
        <v>72678.385615796811</v>
      </c>
      <c r="C39" s="132">
        <f t="shared" ref="C39:M39" si="3">B41</f>
        <v>77614.259217923798</v>
      </c>
      <c r="D39" s="132">
        <f t="shared" si="3"/>
        <v>83675.60684623917</v>
      </c>
      <c r="E39" s="132">
        <f t="shared" si="3"/>
        <v>87361.954474554543</v>
      </c>
      <c r="F39" s="132">
        <f t="shared" si="3"/>
        <v>92018.223809976567</v>
      </c>
      <c r="G39" s="132">
        <f t="shared" si="3"/>
        <v>98093.425604958597</v>
      </c>
      <c r="H39" s="132">
        <f t="shared" si="3"/>
        <v>101793.62739994063</v>
      </c>
      <c r="I39" s="132">
        <f t="shared" si="3"/>
        <v>106463.75090202932</v>
      </c>
      <c r="J39" s="132">
        <f t="shared" si="3"/>
        <v>112552.80686367802</v>
      </c>
      <c r="K39" s="132">
        <f t="shared" si="3"/>
        <v>116266.86282532672</v>
      </c>
      <c r="L39" s="132">
        <f t="shared" si="3"/>
        <v>120950.84049408208</v>
      </c>
      <c r="M39" s="112">
        <f t="shared" si="3"/>
        <v>127053.75062239745</v>
      </c>
      <c r="N39" s="25">
        <f t="shared" si="0"/>
        <v>1196523.4946769041</v>
      </c>
    </row>
    <row r="40" spans="1:14" ht="15.75" customHeight="1" x14ac:dyDescent="0.35">
      <c r="A40" s="133" t="s">
        <v>105</v>
      </c>
      <c r="B40" s="134">
        <f t="shared" ref="B40:M40" si="4">B11-B36</f>
        <v>4935.8736021269906</v>
      </c>
      <c r="C40" s="134">
        <f t="shared" si="4"/>
        <v>6061.3476283153668</v>
      </c>
      <c r="D40" s="134">
        <f t="shared" si="4"/>
        <v>3686.3476283153668</v>
      </c>
      <c r="E40" s="134">
        <f t="shared" si="4"/>
        <v>4656.2693354220228</v>
      </c>
      <c r="F40" s="134">
        <f t="shared" si="4"/>
        <v>6075.2017949820329</v>
      </c>
      <c r="G40" s="134">
        <f t="shared" si="4"/>
        <v>3700.2017949820329</v>
      </c>
      <c r="H40" s="134">
        <f t="shared" si="4"/>
        <v>4670.1235020886907</v>
      </c>
      <c r="I40" s="134">
        <f t="shared" si="4"/>
        <v>6089.0559616487008</v>
      </c>
      <c r="J40" s="134">
        <f t="shared" si="4"/>
        <v>3714.0559616487008</v>
      </c>
      <c r="K40" s="134">
        <f t="shared" si="4"/>
        <v>4683.9776687553567</v>
      </c>
      <c r="L40" s="134">
        <f t="shared" si="4"/>
        <v>6102.9101283153668</v>
      </c>
      <c r="M40" s="135">
        <f t="shared" si="4"/>
        <v>3727.9101283153668</v>
      </c>
      <c r="N40" s="25">
        <f t="shared" si="0"/>
        <v>58103.275134915995</v>
      </c>
    </row>
    <row r="41" spans="1:14" ht="15.75" customHeight="1" x14ac:dyDescent="0.35">
      <c r="A41" s="136" t="s">
        <v>104</v>
      </c>
      <c r="B41" s="137">
        <f t="shared" ref="B41:M41" si="5">B39+B40</f>
        <v>77614.259217923798</v>
      </c>
      <c r="C41" s="137">
        <f t="shared" si="5"/>
        <v>83675.60684623917</v>
      </c>
      <c r="D41" s="137">
        <f t="shared" si="5"/>
        <v>87361.954474554543</v>
      </c>
      <c r="E41" s="137">
        <f t="shared" si="5"/>
        <v>92018.223809976567</v>
      </c>
      <c r="F41" s="137">
        <f t="shared" si="5"/>
        <v>98093.425604958597</v>
      </c>
      <c r="G41" s="137">
        <f t="shared" si="5"/>
        <v>101793.62739994063</v>
      </c>
      <c r="H41" s="137">
        <f t="shared" si="5"/>
        <v>106463.75090202932</v>
      </c>
      <c r="I41" s="137">
        <f t="shared" si="5"/>
        <v>112552.80686367802</v>
      </c>
      <c r="J41" s="137">
        <f t="shared" si="5"/>
        <v>116266.86282532672</v>
      </c>
      <c r="K41" s="137">
        <f t="shared" si="5"/>
        <v>120950.84049408208</v>
      </c>
      <c r="L41" s="137">
        <f t="shared" si="5"/>
        <v>127053.75062239745</v>
      </c>
      <c r="M41" s="138">
        <f t="shared" si="5"/>
        <v>130781.66075071282</v>
      </c>
      <c r="N41" s="25">
        <f t="shared" si="0"/>
        <v>1254626.7698118198</v>
      </c>
    </row>
    <row r="42" spans="1:14" ht="15.75" customHeight="1" x14ac:dyDescent="0.35">
      <c r="A42" s="4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4" ht="15.75" customHeight="1" x14ac:dyDescent="0.35">
      <c r="A43" s="4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1:14" ht="15.75" customHeight="1" x14ac:dyDescent="0.35">
      <c r="A44" s="131" t="s">
        <v>103</v>
      </c>
      <c r="B44" s="132">
        <f t="shared" ref="B44:M44" si="6">(B6)*0.08256881</f>
        <v>1484.3807817750001</v>
      </c>
      <c r="C44" s="132">
        <f t="shared" si="6"/>
        <v>1484.3807817750001</v>
      </c>
      <c r="D44" s="132">
        <f t="shared" si="6"/>
        <v>1484.3807817750001</v>
      </c>
      <c r="E44" s="132">
        <f t="shared" si="6"/>
        <v>1484.3807817750001</v>
      </c>
      <c r="F44" s="132">
        <f t="shared" si="6"/>
        <v>1484.3807817750001</v>
      </c>
      <c r="G44" s="132">
        <f t="shared" si="6"/>
        <v>1484.3807817750001</v>
      </c>
      <c r="H44" s="132">
        <f t="shared" si="6"/>
        <v>1484.3807817750001</v>
      </c>
      <c r="I44" s="132">
        <f t="shared" si="6"/>
        <v>1484.3807817750001</v>
      </c>
      <c r="J44" s="132">
        <f t="shared" si="6"/>
        <v>1484.3807817750001</v>
      </c>
      <c r="K44" s="132">
        <f t="shared" si="6"/>
        <v>1484.3807817750001</v>
      </c>
      <c r="L44" s="132">
        <f t="shared" si="6"/>
        <v>1484.3807817750001</v>
      </c>
      <c r="M44" s="139">
        <f t="shared" si="6"/>
        <v>1484.3807817750001</v>
      </c>
    </row>
    <row r="45" spans="1:14" ht="15.75" customHeight="1" x14ac:dyDescent="0.35">
      <c r="A45" s="133" t="s">
        <v>102</v>
      </c>
      <c r="B45" s="140">
        <f t="shared" ref="B45:M45" si="7">((B15+B20+B21+B22)*0.1735537)+((B17)*0.08256881)</f>
        <v>1011.4032952549967</v>
      </c>
      <c r="C45" s="140">
        <f t="shared" si="7"/>
        <v>1011.4032952549967</v>
      </c>
      <c r="D45" s="140">
        <f t="shared" si="7"/>
        <v>1011.4032952549967</v>
      </c>
      <c r="E45" s="140">
        <f t="shared" si="7"/>
        <v>1011.4032952549967</v>
      </c>
      <c r="F45" s="140">
        <f t="shared" si="7"/>
        <v>1011.4032952549967</v>
      </c>
      <c r="G45" s="140">
        <f t="shared" si="7"/>
        <v>1011.4032952549967</v>
      </c>
      <c r="H45" s="140">
        <f t="shared" si="7"/>
        <v>1011.4032952549967</v>
      </c>
      <c r="I45" s="140">
        <f t="shared" si="7"/>
        <v>1011.4032952549967</v>
      </c>
      <c r="J45" s="140">
        <f t="shared" si="7"/>
        <v>1011.4032952549967</v>
      </c>
      <c r="K45" s="140">
        <f t="shared" si="7"/>
        <v>1011.4032952549967</v>
      </c>
      <c r="L45" s="140">
        <f t="shared" si="7"/>
        <v>1011.4032952549967</v>
      </c>
      <c r="M45" s="135">
        <f t="shared" si="7"/>
        <v>1011.4032952549967</v>
      </c>
    </row>
    <row r="46" spans="1:14" ht="15.75" customHeight="1" x14ac:dyDescent="0.35">
      <c r="A46" s="136" t="s">
        <v>101</v>
      </c>
      <c r="B46" s="137">
        <f t="shared" ref="B46:M46" si="8">B44-B45</f>
        <v>472.97748652000337</v>
      </c>
      <c r="C46" s="137">
        <f t="shared" si="8"/>
        <v>472.97748652000337</v>
      </c>
      <c r="D46" s="137">
        <f t="shared" si="8"/>
        <v>472.97748652000337</v>
      </c>
      <c r="E46" s="137">
        <f t="shared" si="8"/>
        <v>472.97748652000337</v>
      </c>
      <c r="F46" s="137">
        <f t="shared" si="8"/>
        <v>472.97748652000337</v>
      </c>
      <c r="G46" s="137">
        <f t="shared" si="8"/>
        <v>472.97748652000337</v>
      </c>
      <c r="H46" s="137">
        <f t="shared" si="8"/>
        <v>472.97748652000337</v>
      </c>
      <c r="I46" s="137">
        <f t="shared" si="8"/>
        <v>472.97748652000337</v>
      </c>
      <c r="J46" s="137">
        <f t="shared" si="8"/>
        <v>472.97748652000337</v>
      </c>
      <c r="K46" s="137">
        <f t="shared" si="8"/>
        <v>472.97748652000337</v>
      </c>
      <c r="L46" s="137">
        <f t="shared" si="8"/>
        <v>472.97748652000337</v>
      </c>
      <c r="M46" s="138">
        <f t="shared" si="8"/>
        <v>472.97748652000337</v>
      </c>
    </row>
    <row r="47" spans="1:14" ht="18" x14ac:dyDescent="0.35">
      <c r="A47" s="46"/>
      <c r="B47" s="46"/>
      <c r="C47" s="46"/>
      <c r="D47" s="141"/>
      <c r="E47" s="141"/>
      <c r="F47" s="141"/>
      <c r="G47" s="141"/>
      <c r="H47" s="141"/>
      <c r="I47" s="141"/>
      <c r="J47" s="141"/>
      <c r="K47" s="141"/>
      <c r="L47" s="141"/>
      <c r="M47" s="141"/>
    </row>
    <row r="48" spans="1:14" ht="18" x14ac:dyDescent="0.35">
      <c r="A48" s="46"/>
      <c r="B48" s="46"/>
      <c r="C48" s="46"/>
      <c r="D48" s="141"/>
      <c r="E48" s="141"/>
      <c r="F48" s="141"/>
      <c r="G48" s="141"/>
      <c r="H48" s="141"/>
      <c r="I48" s="141"/>
      <c r="J48" s="141"/>
      <c r="K48" s="141"/>
      <c r="L48" s="141"/>
      <c r="M48" s="141"/>
    </row>
    <row r="49" spans="1:13" ht="18" x14ac:dyDescent="0.3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18" x14ac:dyDescent="0.35">
      <c r="A50" s="46"/>
      <c r="E50" s="46"/>
      <c r="F50" s="31"/>
      <c r="G50" s="46"/>
      <c r="H50" s="46"/>
      <c r="I50" s="46"/>
      <c r="J50" s="46"/>
      <c r="K50" s="46"/>
      <c r="L50" s="46"/>
      <c r="M50" s="46"/>
    </row>
    <row r="51" spans="1:13" ht="18" x14ac:dyDescent="0.35">
      <c r="A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8" x14ac:dyDescent="0.35">
      <c r="A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 ht="18" x14ac:dyDescent="0.35">
      <c r="A53" s="46"/>
      <c r="E53" s="46"/>
      <c r="F53" s="46"/>
      <c r="G53" s="46"/>
      <c r="H53" s="46"/>
      <c r="I53" s="46"/>
      <c r="J53" s="46"/>
      <c r="K53" s="46"/>
      <c r="L53" s="46"/>
      <c r="M53" s="46"/>
    </row>
    <row r="62" spans="1:13" x14ac:dyDescent="0.2">
      <c r="D62" s="24"/>
      <c r="E62" s="24"/>
      <c r="F62" s="24"/>
    </row>
    <row r="67" spans="4:6" x14ac:dyDescent="0.2">
      <c r="D67" s="24"/>
      <c r="E67" s="24"/>
      <c r="F67" s="24"/>
    </row>
    <row r="95" spans="4:5" ht="15.75" x14ac:dyDescent="0.25">
      <c r="D95" s="23"/>
      <c r="E95" s="22"/>
    </row>
    <row r="102" spans="4:6" x14ac:dyDescent="0.2">
      <c r="D102" s="21"/>
      <c r="E102" s="21"/>
      <c r="F102" s="21"/>
    </row>
  </sheetData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224B-C6B6-49A6-92E8-C1C12E9C2ECD}">
  <dimension ref="B2:L27"/>
  <sheetViews>
    <sheetView zoomScale="110" zoomScaleNormal="110" workbookViewId="0">
      <selection activeCell="E31" sqref="E31"/>
    </sheetView>
  </sheetViews>
  <sheetFormatPr defaultColWidth="8.85546875" defaultRowHeight="18" x14ac:dyDescent="0.35"/>
  <cols>
    <col min="1" max="1" width="8.85546875" style="148"/>
    <col min="2" max="2" width="51" style="148" bestFit="1" customWidth="1"/>
    <col min="3" max="3" width="12.5703125" style="148" customWidth="1"/>
    <col min="4" max="4" width="14" style="148" customWidth="1"/>
    <col min="5" max="5" width="8.85546875" style="148"/>
    <col min="6" max="6" width="13.28515625" style="148" customWidth="1"/>
    <col min="7" max="7" width="12.140625" style="148" customWidth="1"/>
    <col min="8" max="8" width="8.85546875" style="148"/>
    <col min="9" max="9" width="12.85546875" style="148" customWidth="1"/>
    <col min="10" max="10" width="13.140625" style="148" customWidth="1"/>
    <col min="11" max="16384" width="8.85546875" style="148"/>
  </cols>
  <sheetData>
    <row r="2" spans="2:12" x14ac:dyDescent="0.35">
      <c r="B2" s="188"/>
      <c r="C2" s="189"/>
      <c r="D2" s="189" t="s">
        <v>41</v>
      </c>
      <c r="E2" s="189"/>
      <c r="F2" s="189"/>
      <c r="G2" s="189" t="s">
        <v>42</v>
      </c>
      <c r="H2" s="189"/>
      <c r="I2" s="189"/>
      <c r="J2" s="190" t="s">
        <v>43</v>
      </c>
    </row>
    <row r="3" spans="2:12" x14ac:dyDescent="0.35">
      <c r="B3" s="191" t="s">
        <v>9</v>
      </c>
      <c r="D3" s="192">
        <f>Exploitatie!B57</f>
        <v>46407.861238532088</v>
      </c>
      <c r="G3" s="192">
        <f>Exploitatie!C57</f>
        <v>101348.54013761471</v>
      </c>
      <c r="H3" s="193"/>
      <c r="J3" s="194">
        <f>Exploitatie!D57</f>
        <v>124337.32619266059</v>
      </c>
    </row>
    <row r="4" spans="2:12" x14ac:dyDescent="0.35">
      <c r="B4" s="191"/>
      <c r="D4" s="195"/>
      <c r="G4" s="195"/>
      <c r="H4" s="193"/>
      <c r="J4" s="196"/>
    </row>
    <row r="5" spans="2:12" x14ac:dyDescent="0.35">
      <c r="B5" s="191" t="s">
        <v>15</v>
      </c>
      <c r="C5" s="192"/>
      <c r="D5" s="195"/>
      <c r="F5" s="192"/>
      <c r="G5" s="195"/>
      <c r="H5" s="193"/>
      <c r="I5" s="192"/>
      <c r="J5" s="196"/>
    </row>
    <row r="6" spans="2:12" x14ac:dyDescent="0.35">
      <c r="B6" s="197" t="s">
        <v>14</v>
      </c>
      <c r="C6" s="198"/>
      <c r="D6" s="195">
        <f>Formuleblad!E25</f>
        <v>0</v>
      </c>
      <c r="F6" s="198"/>
      <c r="G6" s="195">
        <f>Formuleblad!G25</f>
        <v>0</v>
      </c>
      <c r="I6" s="198"/>
      <c r="J6" s="196">
        <f>Formuleblad!I25</f>
        <v>0</v>
      </c>
    </row>
    <row r="7" spans="2:12" x14ac:dyDescent="0.35">
      <c r="B7" s="199"/>
      <c r="C7" s="198"/>
      <c r="D7" s="195"/>
      <c r="F7" s="198"/>
      <c r="G7" s="195"/>
      <c r="I7" s="198"/>
      <c r="J7" s="196"/>
      <c r="K7" s="149"/>
      <c r="L7" s="149"/>
    </row>
    <row r="8" spans="2:12" ht="14.25" customHeight="1" x14ac:dyDescent="0.35">
      <c r="B8" s="191" t="s">
        <v>30</v>
      </c>
      <c r="C8" s="200" t="s">
        <v>28</v>
      </c>
      <c r="D8" s="195">
        <f>IF(Formuleblad!C42=1,Formuleblad!$B$43,0)</f>
        <v>7030</v>
      </c>
      <c r="F8" s="200" t="s">
        <v>28</v>
      </c>
      <c r="G8" s="195">
        <f>IF(Formuleblad!D42=1,Formuleblad!$B$43,0)</f>
        <v>7030</v>
      </c>
      <c r="I8" s="200" t="s">
        <v>28</v>
      </c>
      <c r="J8" s="196">
        <f>IF(Formuleblad!E42=1,Formuleblad!$B$43,0)</f>
        <v>7030</v>
      </c>
      <c r="K8" s="149"/>
      <c r="L8" s="149"/>
    </row>
    <row r="9" spans="2:12" x14ac:dyDescent="0.35">
      <c r="B9" s="191" t="s">
        <v>4</v>
      </c>
      <c r="C9" s="200" t="s">
        <v>28</v>
      </c>
      <c r="D9" s="150">
        <f>IF(Formuleblad!C47=1,Formuleblad!B48,0)</f>
        <v>2123</v>
      </c>
      <c r="F9" s="200" t="s">
        <v>28</v>
      </c>
      <c r="G9" s="150">
        <f>IF(Formuleblad!D47=1,Formuleblad!B48,0)</f>
        <v>2123</v>
      </c>
      <c r="I9" s="200" t="s">
        <v>28</v>
      </c>
      <c r="J9" s="201">
        <f>IF(Formuleblad!E47=1,Formuleblad!B48,0)</f>
        <v>2123</v>
      </c>
      <c r="K9" s="149"/>
      <c r="L9" s="149"/>
    </row>
    <row r="10" spans="2:12" x14ac:dyDescent="0.35">
      <c r="B10" s="202" t="s">
        <v>1</v>
      </c>
      <c r="C10" s="203"/>
      <c r="D10" s="204">
        <f>SUM(D8:D9)</f>
        <v>9153</v>
      </c>
      <c r="F10" s="203"/>
      <c r="G10" s="204">
        <f>SUM(G8:G9)</f>
        <v>9153</v>
      </c>
      <c r="I10" s="203"/>
      <c r="J10" s="205">
        <f>SUM(J8:J9)</f>
        <v>9153</v>
      </c>
      <c r="K10" s="149"/>
      <c r="L10" s="149"/>
    </row>
    <row r="11" spans="2:12" x14ac:dyDescent="0.35">
      <c r="B11" s="191"/>
      <c r="D11" s="195"/>
      <c r="G11" s="195"/>
      <c r="J11" s="196"/>
      <c r="K11" s="149"/>
      <c r="L11" s="149"/>
    </row>
    <row r="12" spans="2:12" x14ac:dyDescent="0.35">
      <c r="B12" s="191" t="s">
        <v>2</v>
      </c>
      <c r="D12" s="195">
        <f>0.14*(D3-D6-D10)</f>
        <v>5215.680573394493</v>
      </c>
      <c r="G12" s="195">
        <f>0.14*(G3-G6-G10)</f>
        <v>12907.37561926606</v>
      </c>
      <c r="J12" s="196">
        <f>0.14*(J3-J6-J10)</f>
        <v>16125.805666972485</v>
      </c>
      <c r="K12" s="149"/>
      <c r="L12" s="149"/>
    </row>
    <row r="13" spans="2:12" x14ac:dyDescent="0.35">
      <c r="B13" s="191"/>
      <c r="D13" s="195"/>
      <c r="G13" s="195"/>
      <c r="J13" s="196"/>
      <c r="K13" s="149"/>
      <c r="L13" s="149"/>
    </row>
    <row r="14" spans="2:12" x14ac:dyDescent="0.35">
      <c r="B14" s="206" t="s">
        <v>3</v>
      </c>
      <c r="C14" s="207"/>
      <c r="D14" s="208">
        <f>D3-D10-D12-D6</f>
        <v>32039.180665137595</v>
      </c>
      <c r="F14" s="207"/>
      <c r="G14" s="208">
        <f>G3-G10-G12-G6</f>
        <v>79288.16451834864</v>
      </c>
      <c r="I14" s="207"/>
      <c r="J14" s="209">
        <f>J3-J10-J12-J6</f>
        <v>99058.520525688102</v>
      </c>
      <c r="K14" s="149"/>
      <c r="L14" s="149"/>
    </row>
    <row r="15" spans="2:12" x14ac:dyDescent="0.35">
      <c r="B15" s="206"/>
      <c r="C15" s="207"/>
      <c r="D15" s="208"/>
      <c r="F15" s="207"/>
      <c r="G15" s="208"/>
      <c r="I15" s="207"/>
      <c r="J15" s="209"/>
      <c r="K15" s="149"/>
      <c r="L15" s="149"/>
    </row>
    <row r="16" spans="2:12" x14ac:dyDescent="0.35">
      <c r="B16" s="151" t="s">
        <v>140</v>
      </c>
      <c r="C16" s="152"/>
      <c r="D16" s="211">
        <f>IF(Formuleblad!D30&gt;0,Formuleblad!D30,0)</f>
        <v>1746.135346249999</v>
      </c>
      <c r="E16" s="210"/>
      <c r="F16" s="152"/>
      <c r="G16" s="211">
        <f>IF(Formuleblad!F30&gt;0,Formuleblad!F30,0)</f>
        <v>3119</v>
      </c>
      <c r="H16" s="210"/>
      <c r="I16" s="152"/>
      <c r="J16" s="153">
        <f>IF(Formuleblad!H30&gt;0,Formuleblad!H30,0)</f>
        <v>3119</v>
      </c>
      <c r="K16" s="149"/>
      <c r="L16" s="149"/>
    </row>
    <row r="17" spans="2:12" x14ac:dyDescent="0.35">
      <c r="B17" s="191"/>
      <c r="D17" s="195"/>
      <c r="G17" s="195"/>
      <c r="J17" s="196"/>
      <c r="K17" s="149"/>
      <c r="L17" s="149"/>
    </row>
    <row r="18" spans="2:12" x14ac:dyDescent="0.35">
      <c r="B18" s="202" t="s">
        <v>7</v>
      </c>
      <c r="C18" s="203"/>
      <c r="D18" s="195">
        <f>Formuleblad!D7</f>
        <v>11966.633978428892</v>
      </c>
      <c r="F18" s="203"/>
      <c r="G18" s="195">
        <f>Formuleblad!E7</f>
        <v>30922.181436582578</v>
      </c>
      <c r="I18" s="203"/>
      <c r="J18" s="196">
        <f>Formuleblad!F7</f>
        <v>40708.507660215611</v>
      </c>
      <c r="K18" s="149"/>
      <c r="L18" s="149"/>
    </row>
    <row r="19" spans="2:12" x14ac:dyDescent="0.35">
      <c r="B19" s="191"/>
      <c r="D19" s="195"/>
      <c r="G19" s="195"/>
      <c r="J19" s="196"/>
      <c r="K19" s="149"/>
      <c r="L19" s="149"/>
    </row>
    <row r="20" spans="2:12" x14ac:dyDescent="0.35">
      <c r="B20" s="191" t="s">
        <v>6</v>
      </c>
      <c r="D20" s="195">
        <f>Formuleblad!E37</f>
        <v>2068.4655926733958</v>
      </c>
      <c r="G20" s="195">
        <f>Formuleblad!E38</f>
        <v>0</v>
      </c>
      <c r="J20" s="196">
        <f>Formuleblad!E39</f>
        <v>0</v>
      </c>
    </row>
    <row r="21" spans="2:12" x14ac:dyDescent="0.35">
      <c r="B21" s="191" t="s">
        <v>5</v>
      </c>
      <c r="D21" s="195">
        <f>CEILING(Formuleblad!E16,1)</f>
        <v>3132</v>
      </c>
      <c r="G21" s="195">
        <f>CEILING(Formuleblad!G16,1)</f>
        <v>0</v>
      </c>
      <c r="H21" s="203"/>
      <c r="J21" s="196">
        <f>CEILING(Formuleblad!I16,1)</f>
        <v>0</v>
      </c>
    </row>
    <row r="22" spans="2:12" x14ac:dyDescent="0.35">
      <c r="B22" s="191"/>
      <c r="D22" s="204"/>
      <c r="E22" s="203"/>
      <c r="G22" s="204"/>
      <c r="J22" s="205"/>
    </row>
    <row r="23" spans="2:12" x14ac:dyDescent="0.35">
      <c r="B23" s="151" t="s">
        <v>8</v>
      </c>
      <c r="C23" s="152"/>
      <c r="D23" s="211">
        <f>IF((D18-D20-D21)&gt;0,D18-D20-D21,0)</f>
        <v>6766.1683857554963</v>
      </c>
      <c r="E23" s="210"/>
      <c r="F23" s="152"/>
      <c r="G23" s="211">
        <f>IF((G18-G20-G21)&gt;0,G18-G20-G21,0)</f>
        <v>30922.181436582578</v>
      </c>
      <c r="H23" s="210"/>
      <c r="I23" s="152"/>
      <c r="J23" s="153">
        <f>IF((J18-J20-J21)&gt;0,J18-J20-J21,0)</f>
        <v>40708.507660215611</v>
      </c>
    </row>
    <row r="24" spans="2:12" x14ac:dyDescent="0.35">
      <c r="B24" s="149"/>
      <c r="C24" s="149"/>
    </row>
    <row r="25" spans="2:12" x14ac:dyDescent="0.35">
      <c r="D25" s="154"/>
    </row>
    <row r="26" spans="2:12" x14ac:dyDescent="0.35">
      <c r="D26" s="155"/>
    </row>
    <row r="27" spans="2:12" x14ac:dyDescent="0.35">
      <c r="D27" s="154"/>
    </row>
  </sheetData>
  <pageMargins left="0.7" right="0.7" top="0.75" bottom="0.75" header="0.3" footer="0.3"/>
  <pageSetup paperSize="9" orientation="portrait" r:id="rId1"/>
  <ignoredErrors>
    <ignoredError sqref="D3:J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F916-DF8E-46A6-A89D-2A3733FA018E}">
  <dimension ref="A1:I49"/>
  <sheetViews>
    <sheetView zoomScale="110" zoomScaleNormal="110" workbookViewId="0">
      <selection activeCell="M27" sqref="M27"/>
    </sheetView>
  </sheetViews>
  <sheetFormatPr defaultColWidth="9.140625" defaultRowHeight="18" x14ac:dyDescent="0.35"/>
  <cols>
    <col min="1" max="1" width="24.5703125" style="172" customWidth="1"/>
    <col min="2" max="2" width="16" style="172" bestFit="1" customWidth="1"/>
    <col min="3" max="3" width="15.42578125" style="172" customWidth="1"/>
    <col min="4" max="4" width="29" style="172" customWidth="1"/>
    <col min="5" max="5" width="32.140625" style="172" customWidth="1"/>
    <col min="6" max="6" width="24.85546875" style="148" customWidth="1"/>
    <col min="7" max="7" width="31.7109375" style="148" customWidth="1"/>
    <col min="8" max="8" width="20.42578125" style="148" customWidth="1"/>
    <col min="9" max="9" width="35.42578125" style="148" bestFit="1" customWidth="1"/>
    <col min="10" max="16384" width="9.140625" style="148"/>
  </cols>
  <sheetData>
    <row r="1" spans="1:9" x14ac:dyDescent="0.35">
      <c r="A1" s="156" t="s">
        <v>10</v>
      </c>
      <c r="B1" s="157"/>
      <c r="C1" s="157"/>
      <c r="D1" s="157"/>
      <c r="E1" s="157"/>
      <c r="F1" s="158"/>
      <c r="G1" s="158"/>
      <c r="H1" s="158"/>
      <c r="I1" s="158"/>
    </row>
    <row r="2" spans="1:9" x14ac:dyDescent="0.35">
      <c r="A2" s="157"/>
      <c r="B2" s="156" t="s">
        <v>21</v>
      </c>
      <c r="C2" s="156" t="s">
        <v>11</v>
      </c>
      <c r="D2" s="156" t="s">
        <v>34</v>
      </c>
      <c r="E2" s="156" t="s">
        <v>35</v>
      </c>
      <c r="F2" s="156" t="s">
        <v>36</v>
      </c>
      <c r="G2" s="158"/>
      <c r="H2" s="158"/>
      <c r="I2" s="158"/>
    </row>
    <row r="3" spans="1:9" x14ac:dyDescent="0.35">
      <c r="A3" s="159">
        <v>0.3735</v>
      </c>
      <c r="B3" s="160">
        <v>68508</v>
      </c>
      <c r="C3" s="160">
        <v>25586</v>
      </c>
      <c r="D3" s="160">
        <f>IF('Berekening IB ZVW'!D14&gt;Formuleblad!B3,Formuleblad!C3,'Berekening IB ZVW'!D14*Formuleblad!A3)</f>
        <v>11966.633978428892</v>
      </c>
      <c r="E3" s="160">
        <f>IF('Berekening IB ZVW'!G14&gt;Formuleblad!B3,Formuleblad!C3,'Berekening IB ZVW'!G14*Formuleblad!A3)</f>
        <v>25586</v>
      </c>
      <c r="F3" s="160">
        <f>IF('Berekening IB ZVW'!J14&gt;Formuleblad!B3,Formuleblad!C3,'Berekening IB ZVW'!J14*Formuleblad!A3)</f>
        <v>25586</v>
      </c>
      <c r="G3" s="158"/>
      <c r="H3" s="158"/>
      <c r="I3" s="158"/>
    </row>
    <row r="4" spans="1:9" x14ac:dyDescent="0.35">
      <c r="A4" s="159">
        <v>0.3735</v>
      </c>
      <c r="B4" s="160">
        <v>68508</v>
      </c>
      <c r="C4" s="160">
        <v>0</v>
      </c>
      <c r="D4" s="160">
        <f>IF('Berekening IB ZVW'!D14&gt;Formuleblad!B3,IF('Berekening IB ZVW'!D14&gt;Formuleblad!B4,C4,('Berekening IB ZVW'!D14-B3)*A4),0)</f>
        <v>0</v>
      </c>
      <c r="E4" s="160">
        <f>IF('Berekening IB ZVW'!G14&gt;Formuleblad!B3,IF('Berekening IB ZVW'!G14&gt;Formuleblad!B4,C4,('Berekening IB ZVW'!G14-B3)*A4),0)</f>
        <v>0</v>
      </c>
      <c r="F4" s="160">
        <f>IF('Berekening IB ZVW'!J14&gt;Formuleblad!B3,IF('Berekening IB ZVW'!J14&gt;Formuleblad!B4,C4,('Berekening IB ZVW'!J14-B3)*A4),0)</f>
        <v>0</v>
      </c>
      <c r="G4" s="158"/>
      <c r="H4" s="158"/>
      <c r="I4" s="158"/>
    </row>
    <row r="5" spans="1:9" x14ac:dyDescent="0.35">
      <c r="A5" s="159">
        <v>0.3735</v>
      </c>
      <c r="B5" s="160">
        <v>68508</v>
      </c>
      <c r="C5" s="160">
        <v>0</v>
      </c>
      <c r="D5" s="160">
        <f>IF('Berekening IB ZVW'!D14&gt;Formuleblad!B4,IF('Berekening IB ZVW'!D14&gt;Formuleblad!B5,C5,('Berekening IB ZVW'!D14-B4)*A5),0)</f>
        <v>0</v>
      </c>
      <c r="E5" s="160">
        <f>IF('Berekening IB ZVW'!G14&gt;Formuleblad!B4,IF('Berekening IB ZVW'!G14&gt;Formuleblad!B5,C5,('Berekening IB ZVW'!G14-B4)*A5),0)</f>
        <v>0</v>
      </c>
      <c r="F5" s="160">
        <f>IF('Berekening IB ZVW'!J14&gt;Formuleblad!B4,IF('Berekening IB ZVW'!J14&gt;Formuleblad!B5,C5,('Berekening IB ZVW'!J14-B4)*A5),0)</f>
        <v>0</v>
      </c>
      <c r="G5" s="158"/>
      <c r="H5" s="158"/>
      <c r="I5" s="158"/>
    </row>
    <row r="6" spans="1:9" x14ac:dyDescent="0.35">
      <c r="A6" s="159">
        <v>0.495</v>
      </c>
      <c r="B6" s="160"/>
      <c r="C6" s="160"/>
      <c r="D6" s="161">
        <f>IF('Berekening IB ZVW'!D14&gt;Formuleblad!B5,('Berekening IB ZVW'!D14-Formuleblad!B5)*Formuleblad!A6,0)</f>
        <v>0</v>
      </c>
      <c r="E6" s="161">
        <f>IF('Berekening IB ZVW'!G14&gt;Formuleblad!B5,('Berekening IB ZVW'!G14-Formuleblad!B5)*Formuleblad!A6,0)</f>
        <v>5336.1814365825767</v>
      </c>
      <c r="F6" s="161">
        <f>IF('Berekening IB ZVW'!J14&gt;Formuleblad!B5,('Berekening IB ZVW'!J14-Formuleblad!B5)*Formuleblad!A6,0)</f>
        <v>15122.50766021561</v>
      </c>
      <c r="G6" s="158"/>
      <c r="H6" s="158"/>
      <c r="I6" s="158"/>
    </row>
    <row r="7" spans="1:9" ht="18.75" thickBot="1" x14ac:dyDescent="0.4">
      <c r="A7" s="156" t="s">
        <v>12</v>
      </c>
      <c r="B7" s="162"/>
      <c r="C7" s="162"/>
      <c r="D7" s="163">
        <f>SUM(D3:D6)</f>
        <v>11966.633978428892</v>
      </c>
      <c r="E7" s="163">
        <f>SUM(E3:E6)</f>
        <v>30922.181436582578</v>
      </c>
      <c r="F7" s="163">
        <f>SUM(F3:F6)</f>
        <v>40708.507660215611</v>
      </c>
      <c r="G7" s="158"/>
      <c r="H7" s="158"/>
      <c r="I7" s="158"/>
    </row>
    <row r="8" spans="1:9" ht="18.75" thickTop="1" x14ac:dyDescent="0.35">
      <c r="A8" s="157"/>
      <c r="B8" s="157"/>
      <c r="C8" s="157"/>
      <c r="D8" s="157"/>
      <c r="E8" s="157"/>
      <c r="F8" s="158"/>
      <c r="G8" s="158"/>
      <c r="H8" s="158"/>
      <c r="I8" s="158"/>
    </row>
    <row r="9" spans="1:9" x14ac:dyDescent="0.35">
      <c r="A9" s="156" t="s">
        <v>22</v>
      </c>
      <c r="B9" s="157"/>
      <c r="C9" s="157"/>
      <c r="D9" s="157"/>
      <c r="E9" s="157"/>
      <c r="F9" s="158"/>
      <c r="G9" s="158"/>
      <c r="H9" s="158"/>
      <c r="I9" s="158"/>
    </row>
    <row r="10" spans="1:9" x14ac:dyDescent="0.35">
      <c r="A10" s="157"/>
      <c r="B10" s="156" t="s">
        <v>23</v>
      </c>
      <c r="C10" s="156"/>
      <c r="D10" s="164">
        <f>'Berekening IB ZVW'!D3</f>
        <v>46407.861238532088</v>
      </c>
      <c r="E10" s="156" t="s">
        <v>37</v>
      </c>
      <c r="F10" s="164">
        <f>'Berekening IB ZVW'!G3</f>
        <v>101348.54013761471</v>
      </c>
      <c r="G10" s="156" t="s">
        <v>37</v>
      </c>
      <c r="H10" s="165">
        <f>'Berekening IB ZVW'!J3</f>
        <v>124337.32619266059</v>
      </c>
      <c r="I10" s="156" t="s">
        <v>37</v>
      </c>
    </row>
    <row r="11" spans="1:9" x14ac:dyDescent="0.35">
      <c r="A11" s="157"/>
      <c r="B11" s="157">
        <v>9921</v>
      </c>
      <c r="C11" s="157"/>
      <c r="D11" s="157">
        <f>IF(D10&lt;B11,D10*0.02812,0)</f>
        <v>0</v>
      </c>
      <c r="E11" s="157">
        <f>IF($D$10&gt;=B10,D11,0)</f>
        <v>0</v>
      </c>
      <c r="F11" s="157">
        <f>IF(F10&lt;B11,F10*0.02812,0)</f>
        <v>0</v>
      </c>
      <c r="G11" s="157">
        <f>IF($F$10&gt;=B10,F11,0)</f>
        <v>0</v>
      </c>
      <c r="H11" s="157">
        <f>IF(H10&lt;B11,H10*0.02812,0)</f>
        <v>0</v>
      </c>
      <c r="I11" s="157">
        <f>IF($H$10&gt;=B10,H11,0)</f>
        <v>0</v>
      </c>
    </row>
    <row r="12" spans="1:9" x14ac:dyDescent="0.35">
      <c r="A12" s="157"/>
      <c r="B12" s="157">
        <v>21430</v>
      </c>
      <c r="C12" s="157"/>
      <c r="D12" s="157">
        <f>IF(D10&lt;B12,279+((D10-B11)*0.28812),0)</f>
        <v>0</v>
      </c>
      <c r="E12" s="157">
        <f>IF($D$10&gt;=B11,D12,0)</f>
        <v>0</v>
      </c>
      <c r="F12" s="157">
        <f>IF(F10&lt;B12,279+((F10-B11)*0.28812),0)</f>
        <v>0</v>
      </c>
      <c r="G12" s="157">
        <f>IF($F$10&gt;=B11,F12,0)</f>
        <v>0</v>
      </c>
      <c r="H12" s="157">
        <f>IF(H10&lt;B12,279+((H10-B11)*0.28812),0)</f>
        <v>0</v>
      </c>
      <c r="I12" s="157">
        <f>IF($H$10&gt;=B11,H12,0)</f>
        <v>0</v>
      </c>
    </row>
    <row r="13" spans="1:9" x14ac:dyDescent="0.35">
      <c r="A13" s="157"/>
      <c r="B13" s="157">
        <v>34954</v>
      </c>
      <c r="C13" s="157"/>
      <c r="D13" s="157">
        <f>IF(D10&lt;B13,3595-((D10-B12)*0.01656),0)</f>
        <v>0</v>
      </c>
      <c r="E13" s="157">
        <f>IF($D$10&gt;=B12,D13,0)</f>
        <v>0</v>
      </c>
      <c r="F13" s="157">
        <f>IF(F10&lt;B13,3595-((F10-B12)*0.01656),0)</f>
        <v>0</v>
      </c>
      <c r="G13" s="157">
        <f>IF($F$10&gt;=B12,F13,0)</f>
        <v>0</v>
      </c>
      <c r="H13" s="157">
        <f>IF(H10&lt;B13,3595-((H10-B12)*0.01656),0)</f>
        <v>0</v>
      </c>
      <c r="I13" s="157">
        <f>IF($H$10&gt;=B12,H13,0)</f>
        <v>0</v>
      </c>
    </row>
    <row r="14" spans="1:9" x14ac:dyDescent="0.35">
      <c r="A14" s="157"/>
      <c r="B14" s="157">
        <v>98604</v>
      </c>
      <c r="C14" s="157"/>
      <c r="D14" s="157">
        <f>IF(D10&lt;B14,3819-((D10-B13)*0.06),0)</f>
        <v>3131.7683256880746</v>
      </c>
      <c r="E14" s="157">
        <f>IF($D$10&gt;=B13,D14,0)</f>
        <v>3131.7683256880746</v>
      </c>
      <c r="F14" s="157">
        <f>IF(F10&lt;B14,3819-((F10-B13)*0.06),0)</f>
        <v>0</v>
      </c>
      <c r="G14" s="157">
        <f>IF($F$10&gt;=B13,F14,0)</f>
        <v>0</v>
      </c>
      <c r="H14" s="157">
        <f>IF(H10&lt;B14,3819-((H10-B13)*0.06),0)</f>
        <v>0</v>
      </c>
      <c r="I14" s="157">
        <f>IF($H$10&gt;=B13,H14,0)</f>
        <v>0</v>
      </c>
    </row>
    <row r="15" spans="1:9" x14ac:dyDescent="0.35">
      <c r="A15" s="157"/>
      <c r="B15" s="157"/>
      <c r="C15" s="157">
        <v>0</v>
      </c>
      <c r="D15" s="157">
        <f>IF(D10&gt;=B14,C15,0)</f>
        <v>0</v>
      </c>
      <c r="E15" s="166">
        <f>IF(D10&gt;=B14,D15,0)</f>
        <v>0</v>
      </c>
      <c r="F15" s="157">
        <f>IF(F10&gt;=B14,E15,0)</f>
        <v>0</v>
      </c>
      <c r="G15" s="166">
        <f>IF(F10&gt;=B14,F15,0)</f>
        <v>0</v>
      </c>
      <c r="H15" s="157">
        <f>IF(H10&gt;=B14,G15,0)</f>
        <v>0</v>
      </c>
      <c r="I15" s="166">
        <f>IF(H10&gt;=B14,H15,0)</f>
        <v>0</v>
      </c>
    </row>
    <row r="16" spans="1:9" ht="18.75" thickBot="1" x14ac:dyDescent="0.4">
      <c r="A16" s="156" t="s">
        <v>13</v>
      </c>
      <c r="B16" s="156"/>
      <c r="C16" s="156"/>
      <c r="D16" s="156"/>
      <c r="E16" s="167">
        <f>SUM(E11:E15)</f>
        <v>3131.7683256880746</v>
      </c>
      <c r="F16" s="158"/>
      <c r="G16" s="167">
        <f>SUM(G11:G15)</f>
        <v>0</v>
      </c>
      <c r="H16" s="158"/>
      <c r="I16" s="167">
        <f>SUM(I11:I15)</f>
        <v>0</v>
      </c>
    </row>
    <row r="17" spans="1:9" ht="18.75" thickTop="1" x14ac:dyDescent="0.35">
      <c r="A17" s="157"/>
      <c r="B17" s="157"/>
      <c r="C17" s="157"/>
      <c r="D17" s="157"/>
      <c r="E17" s="157"/>
      <c r="F17" s="158"/>
      <c r="G17" s="158"/>
      <c r="H17" s="158"/>
      <c r="I17" s="158"/>
    </row>
    <row r="18" spans="1:9" x14ac:dyDescent="0.35">
      <c r="A18" s="156" t="s">
        <v>14</v>
      </c>
      <c r="B18" s="157"/>
      <c r="C18" s="157"/>
      <c r="D18" s="157"/>
      <c r="E18" s="157"/>
      <c r="F18" s="158"/>
      <c r="G18" s="158"/>
      <c r="H18" s="158"/>
      <c r="I18" s="158"/>
    </row>
    <row r="19" spans="1:9" x14ac:dyDescent="0.35">
      <c r="A19" s="157"/>
      <c r="B19" s="156" t="s">
        <v>33</v>
      </c>
      <c r="C19" s="156"/>
      <c r="D19" s="168">
        <f>'Berekening IB ZVW'!C5</f>
        <v>0</v>
      </c>
      <c r="E19" s="156" t="s">
        <v>38</v>
      </c>
      <c r="F19" s="168">
        <f>'Berekening IB ZVW'!F5</f>
        <v>0</v>
      </c>
      <c r="G19" s="156" t="s">
        <v>39</v>
      </c>
      <c r="H19" s="168">
        <f>'Berekening IB ZVW'!I5</f>
        <v>0</v>
      </c>
      <c r="I19" s="156" t="s">
        <v>40</v>
      </c>
    </row>
    <row r="20" spans="1:9" x14ac:dyDescent="0.35">
      <c r="A20" s="157">
        <v>0</v>
      </c>
      <c r="B20" s="157">
        <v>2400</v>
      </c>
      <c r="C20" s="169">
        <v>0</v>
      </c>
      <c r="D20" s="157">
        <f>IF($D$19&gt;$A$20,D19*$C$20,0)</f>
        <v>0</v>
      </c>
      <c r="E20" s="157">
        <f>IF($D$19&lt;$B$20,D20,0)</f>
        <v>0</v>
      </c>
      <c r="F20" s="157">
        <f>IF($F$19&gt;$A$20,F19*$C$20,0)</f>
        <v>0</v>
      </c>
      <c r="G20" s="157">
        <f>IF($F$19&lt;$B$20,F20,0)</f>
        <v>0</v>
      </c>
      <c r="H20" s="157">
        <f>IF($H$19&gt;$A$20,H19*$C$20,0)</f>
        <v>0</v>
      </c>
      <c r="I20" s="157">
        <f>IF($H$19&lt;$B$20,H20,0)</f>
        <v>0</v>
      </c>
    </row>
    <row r="21" spans="1:9" x14ac:dyDescent="0.35">
      <c r="A21" s="157">
        <v>2401</v>
      </c>
      <c r="B21" s="157">
        <v>58238</v>
      </c>
      <c r="C21" s="169">
        <v>0.28000000000000003</v>
      </c>
      <c r="D21" s="157">
        <f>IF($D$19&gt;=$A$21,D19*$C$21,0)</f>
        <v>0</v>
      </c>
      <c r="E21" s="157">
        <f>IF($D$19&lt;$B$21,D21,0)</f>
        <v>0</v>
      </c>
      <c r="F21" s="157">
        <f>IF($F$19&gt;=$A$21,F19*$C$21,0)</f>
        <v>0</v>
      </c>
      <c r="G21" s="157">
        <f>IF($F$19&lt;$B$21,F21,0)</f>
        <v>0</v>
      </c>
      <c r="H21" s="157">
        <f>IF($H$19&gt;=$A$21,H19*$C$21,0)</f>
        <v>0</v>
      </c>
      <c r="I21" s="157">
        <f>IF($H$19&lt;$B$21,H21,0)</f>
        <v>0</v>
      </c>
    </row>
    <row r="22" spans="1:9" x14ac:dyDescent="0.35">
      <c r="A22" s="157">
        <v>58239</v>
      </c>
      <c r="B22" s="157">
        <v>107848</v>
      </c>
      <c r="C22" s="157">
        <v>16307</v>
      </c>
      <c r="D22" s="157">
        <f>IF($D$19&gt;=$A$22,$C$22,0)</f>
        <v>0</v>
      </c>
      <c r="E22" s="157">
        <f>IF($D$19&lt;$B$22,D22,0)</f>
        <v>0</v>
      </c>
      <c r="F22" s="157">
        <f>IF($F$19&gt;=$A$22,$C$22,0)</f>
        <v>0</v>
      </c>
      <c r="G22" s="157">
        <f>IF($F$19&lt;$B$22,F22,0)</f>
        <v>0</v>
      </c>
      <c r="H22" s="157">
        <f>IF($H$19&gt;=$A$22,$C$22,0)</f>
        <v>0</v>
      </c>
      <c r="I22" s="157">
        <f>IF($H$19&lt;$B$22,H22,0)</f>
        <v>0</v>
      </c>
    </row>
    <row r="23" spans="1:9" x14ac:dyDescent="0.35">
      <c r="A23" s="157">
        <f>+B22+1</f>
        <v>107849</v>
      </c>
      <c r="B23" s="157">
        <v>323544</v>
      </c>
      <c r="C23" s="157">
        <v>16307</v>
      </c>
      <c r="D23" s="157">
        <f>IF($D$19&gt;=$A$23,$C$23-((D19-$A$23)*0.0756),0)</f>
        <v>0</v>
      </c>
      <c r="E23" s="157">
        <f>IF($D$19&lt;$B$23,D23,0)</f>
        <v>0</v>
      </c>
      <c r="F23" s="157">
        <f>IF($F$19&gt;=$A$23,$C$23-((F19-$A$23)*0.0756),0)</f>
        <v>0</v>
      </c>
      <c r="G23" s="157">
        <f>IF($F$19&lt;$B$23,F23,0)</f>
        <v>0</v>
      </c>
      <c r="H23" s="157">
        <f>IF($H$19&gt;=$A$23,$C$23-((H19-$A$23)*0.0756),0)</f>
        <v>0</v>
      </c>
      <c r="I23" s="157">
        <f>IF($H$19&lt;$B$23,H23,0)</f>
        <v>0</v>
      </c>
    </row>
    <row r="24" spans="1:9" x14ac:dyDescent="0.35">
      <c r="A24" s="157">
        <v>323544</v>
      </c>
      <c r="B24" s="157"/>
      <c r="C24" s="157"/>
      <c r="D24" s="157">
        <f>IF($D$19&gt;$A$24,0,0)</f>
        <v>0</v>
      </c>
      <c r="E24" s="157">
        <f>IF($D$19&lt;$B$24,D24,0)</f>
        <v>0</v>
      </c>
      <c r="F24" s="157">
        <f>IF($F$19&gt;$A$24,0,0)</f>
        <v>0</v>
      </c>
      <c r="G24" s="157">
        <f>IF($F$19&lt;$B$24,F24,0)</f>
        <v>0</v>
      </c>
      <c r="H24" s="157">
        <f>IF($H$19&gt;$A$24,0,0)</f>
        <v>0</v>
      </c>
      <c r="I24" s="157">
        <f>IF($H$19&lt;$B$24,H24,0)</f>
        <v>0</v>
      </c>
    </row>
    <row r="25" spans="1:9" ht="18.75" thickBot="1" x14ac:dyDescent="0.4">
      <c r="A25" s="156" t="s">
        <v>24</v>
      </c>
      <c r="B25" s="156"/>
      <c r="C25" s="156"/>
      <c r="D25" s="156"/>
      <c r="E25" s="167">
        <f>SUM(E20:E24)</f>
        <v>0</v>
      </c>
      <c r="F25" s="158"/>
      <c r="G25" s="167">
        <f>SUM(G20:G24)</f>
        <v>0</v>
      </c>
      <c r="H25" s="158"/>
      <c r="I25" s="167">
        <f>SUM(I20:I24)</f>
        <v>0</v>
      </c>
    </row>
    <row r="26" spans="1:9" ht="18.75" thickTop="1" x14ac:dyDescent="0.35">
      <c r="A26" s="157"/>
      <c r="B26" s="157"/>
      <c r="C26" s="157"/>
      <c r="D26" s="157"/>
      <c r="E26" s="157"/>
      <c r="F26" s="158"/>
      <c r="G26" s="158"/>
      <c r="H26" s="158"/>
      <c r="I26" s="158"/>
    </row>
    <row r="27" spans="1:9" x14ac:dyDescent="0.35">
      <c r="A27" s="156" t="s">
        <v>25</v>
      </c>
      <c r="B27" s="157"/>
      <c r="C27" s="157"/>
      <c r="D27" s="157"/>
      <c r="E27" s="157"/>
      <c r="F27" s="158"/>
      <c r="G27" s="158"/>
      <c r="H27" s="158"/>
      <c r="I27" s="158"/>
    </row>
    <row r="28" spans="1:9" x14ac:dyDescent="0.35">
      <c r="A28" s="157"/>
      <c r="B28" s="156" t="s">
        <v>41</v>
      </c>
      <c r="C28" s="157"/>
      <c r="D28" s="157"/>
      <c r="E28" s="156" t="s">
        <v>42</v>
      </c>
      <c r="F28" s="158"/>
      <c r="G28" s="170" t="s">
        <v>43</v>
      </c>
      <c r="H28" s="158"/>
      <c r="I28" s="158"/>
    </row>
    <row r="29" spans="1:9" x14ac:dyDescent="0.35">
      <c r="A29" s="171" t="s">
        <v>26</v>
      </c>
      <c r="B29" s="171" t="s">
        <v>18</v>
      </c>
      <c r="C29" s="171" t="s">
        <v>16</v>
      </c>
      <c r="D29" s="156" t="s">
        <v>27</v>
      </c>
      <c r="E29" s="171" t="s">
        <v>18</v>
      </c>
      <c r="F29" s="156" t="s">
        <v>27</v>
      </c>
      <c r="G29" s="171" t="s">
        <v>18</v>
      </c>
      <c r="H29" s="156" t="s">
        <v>27</v>
      </c>
      <c r="I29" s="158"/>
    </row>
    <row r="30" spans="1:9" ht="18.75" thickBot="1" x14ac:dyDescent="0.4">
      <c r="A30" s="159">
        <v>5.45E-2</v>
      </c>
      <c r="B30" s="157">
        <f>A30*'Berekening IB ZVW'!D14</f>
        <v>1746.135346249999</v>
      </c>
      <c r="C30" s="157">
        <v>3119</v>
      </c>
      <c r="D30" s="167">
        <f>IF(Formuleblad!B30&gt;Formuleblad!$C$30,Formuleblad!$C$30,Formuleblad!B30)</f>
        <v>1746.135346249999</v>
      </c>
      <c r="E30" s="157">
        <f>A30*'Berekening IB ZVW'!G14</f>
        <v>4321.2049662500012</v>
      </c>
      <c r="F30" s="167">
        <f>IF(Formuleblad!E30&gt;Formuleblad!$C$30,Formuleblad!$C$30,Formuleblad!E30)</f>
        <v>3119</v>
      </c>
      <c r="G30" s="157">
        <f>A30*'Berekening IB ZVW'!J14</f>
        <v>5398.6893686500016</v>
      </c>
      <c r="H30" s="167">
        <f>IF(Formuleblad!G30&gt;Formuleblad!$C$30,Formuleblad!$C$30,Formuleblad!G30)</f>
        <v>3119</v>
      </c>
      <c r="I30" s="158"/>
    </row>
    <row r="31" spans="1:9" ht="18.75" thickTop="1" x14ac:dyDescent="0.35">
      <c r="A31" s="157"/>
      <c r="B31" s="157"/>
      <c r="C31" s="157"/>
      <c r="D31" s="157"/>
      <c r="E31" s="157"/>
      <c r="F31" s="158"/>
      <c r="G31" s="158"/>
      <c r="H31" s="158"/>
      <c r="I31" s="158"/>
    </row>
    <row r="32" spans="1:9" x14ac:dyDescent="0.35">
      <c r="A32" s="156" t="s">
        <v>6</v>
      </c>
      <c r="B32" s="156"/>
      <c r="C32" s="156" t="s">
        <v>16</v>
      </c>
      <c r="D32" s="156" t="s">
        <v>17</v>
      </c>
      <c r="E32" s="156" t="s">
        <v>19</v>
      </c>
      <c r="F32" s="158"/>
      <c r="G32" s="158"/>
      <c r="H32" s="158"/>
      <c r="I32" s="158"/>
    </row>
    <row r="33" spans="1:9" x14ac:dyDescent="0.35">
      <c r="A33" s="156" t="s">
        <v>45</v>
      </c>
      <c r="B33" s="157">
        <f>IF('Berekening IB ZVW'!D14&gt;$D$33,$C$33-(('Berekening IB ZVW'!D14-$D$33)*$E$33),$C$33)</f>
        <v>2068.4655926733958</v>
      </c>
      <c r="C33" s="157">
        <v>2711</v>
      </c>
      <c r="D33" s="157">
        <v>20711</v>
      </c>
      <c r="E33" s="169">
        <v>5.672E-2</v>
      </c>
      <c r="F33" s="158"/>
      <c r="G33" s="158"/>
      <c r="H33" s="158"/>
      <c r="I33" s="158"/>
    </row>
    <row r="34" spans="1:9" x14ac:dyDescent="0.35">
      <c r="A34" s="156" t="s">
        <v>46</v>
      </c>
      <c r="B34" s="157">
        <f>IF('Berekening IB ZVW'!G14&gt;$D$33,$C$33-(('Berekening IB ZVW'!G14-$D$33)*$E$33),$C$33)</f>
        <v>-611.49677148073488</v>
      </c>
      <c r="C34" s="157"/>
      <c r="D34" s="157"/>
      <c r="E34" s="169"/>
      <c r="F34" s="158"/>
      <c r="G34" s="158"/>
      <c r="H34" s="158"/>
      <c r="I34" s="158"/>
    </row>
    <row r="35" spans="1:9" x14ac:dyDescent="0.35">
      <c r="A35" s="156" t="s">
        <v>47</v>
      </c>
      <c r="B35" s="157">
        <f>IF('Berekening IB ZVW'!J14&gt;$D$33,$C$33-(('Berekening IB ZVW'!J14-$D$33)*$E$33),$C$33)</f>
        <v>-1732.8713642170287</v>
      </c>
      <c r="C35" s="157"/>
      <c r="D35" s="157"/>
      <c r="E35" s="169"/>
      <c r="F35" s="158"/>
      <c r="G35" s="158"/>
      <c r="H35" s="158"/>
      <c r="I35" s="158"/>
    </row>
    <row r="36" spans="1:9" x14ac:dyDescent="0.35">
      <c r="A36" s="156"/>
      <c r="B36" s="157"/>
      <c r="C36" s="157"/>
      <c r="D36" s="157"/>
      <c r="E36" s="157"/>
      <c r="F36" s="158"/>
      <c r="G36" s="158"/>
      <c r="H36" s="158"/>
      <c r="I36" s="158"/>
    </row>
    <row r="37" spans="1:9" ht="18.75" thickBot="1" x14ac:dyDescent="0.4">
      <c r="A37" s="156" t="s">
        <v>20</v>
      </c>
      <c r="B37" s="157"/>
      <c r="C37" s="156" t="s">
        <v>44</v>
      </c>
      <c r="D37" s="156"/>
      <c r="E37" s="167">
        <f>IF(Formuleblad!B33&lt;Formuleblad!$A$38,Formuleblad!$A$38,Formuleblad!B33)</f>
        <v>2068.4655926733958</v>
      </c>
      <c r="F37" s="158"/>
      <c r="G37" s="158"/>
      <c r="H37" s="158"/>
      <c r="I37" s="158"/>
    </row>
    <row r="38" spans="1:9" ht="19.5" thickTop="1" thickBot="1" x14ac:dyDescent="0.4">
      <c r="A38" s="157">
        <v>0</v>
      </c>
      <c r="B38" s="157"/>
      <c r="C38" s="156" t="s">
        <v>48</v>
      </c>
      <c r="D38" s="157"/>
      <c r="E38" s="167">
        <f>IF(Formuleblad!B34&lt;Formuleblad!$A$38,Formuleblad!$A$38,Formuleblad!B34)</f>
        <v>0</v>
      </c>
      <c r="F38" s="158"/>
      <c r="G38" s="158"/>
      <c r="H38" s="158"/>
      <c r="I38" s="158"/>
    </row>
    <row r="39" spans="1:9" ht="19.5" thickTop="1" thickBot="1" x14ac:dyDescent="0.4">
      <c r="A39" s="157"/>
      <c r="B39" s="157"/>
      <c r="C39" s="156" t="s">
        <v>49</v>
      </c>
      <c r="D39" s="157"/>
      <c r="E39" s="167">
        <f>IF(Formuleblad!B35&lt;Formuleblad!$A$38,Formuleblad!$A$38,Formuleblad!B35)</f>
        <v>0</v>
      </c>
      <c r="F39" s="158"/>
      <c r="G39" s="158"/>
      <c r="H39" s="158"/>
      <c r="I39" s="158"/>
    </row>
    <row r="40" spans="1:9" ht="18.75" thickTop="1" x14ac:dyDescent="0.35">
      <c r="A40" s="156" t="s">
        <v>0</v>
      </c>
      <c r="B40" s="157"/>
      <c r="C40" s="157"/>
      <c r="D40" s="157"/>
      <c r="E40" s="157"/>
      <c r="F40" s="158"/>
    </row>
    <row r="41" spans="1:9" x14ac:dyDescent="0.35">
      <c r="A41" s="157"/>
      <c r="B41" s="157"/>
      <c r="C41" s="156" t="s">
        <v>41</v>
      </c>
      <c r="D41" s="156" t="s">
        <v>42</v>
      </c>
      <c r="E41" s="156" t="s">
        <v>43</v>
      </c>
      <c r="F41" s="158"/>
    </row>
    <row r="42" spans="1:9" x14ac:dyDescent="0.35">
      <c r="A42" s="157" t="s">
        <v>28</v>
      </c>
      <c r="B42" s="156" t="s">
        <v>31</v>
      </c>
      <c r="C42" s="157">
        <f>IF($A$42='Berekening IB ZVW'!C8,1,0)</f>
        <v>1</v>
      </c>
      <c r="D42" s="157">
        <f>IF($A$42='Berekening IB ZVW'!F8,1,0)</f>
        <v>1</v>
      </c>
      <c r="E42" s="157">
        <f>IF($A$42='Berekening IB ZVW'!I8,1,0)</f>
        <v>1</v>
      </c>
      <c r="F42" s="158"/>
    </row>
    <row r="43" spans="1:9" ht="18.75" thickBot="1" x14ac:dyDescent="0.4">
      <c r="A43" s="157" t="s">
        <v>29</v>
      </c>
      <c r="B43" s="167">
        <v>7030</v>
      </c>
      <c r="C43" s="157"/>
      <c r="D43" s="157"/>
      <c r="E43" s="157"/>
      <c r="F43" s="158"/>
    </row>
    <row r="44" spans="1:9" ht="18.75" thickTop="1" x14ac:dyDescent="0.35">
      <c r="A44" s="157"/>
      <c r="B44" s="157"/>
      <c r="C44" s="157"/>
      <c r="D44" s="157"/>
      <c r="E44" s="157"/>
      <c r="F44" s="158"/>
    </row>
    <row r="45" spans="1:9" x14ac:dyDescent="0.35">
      <c r="A45" s="156" t="s">
        <v>32</v>
      </c>
      <c r="B45" s="157"/>
      <c r="C45" s="157"/>
      <c r="D45" s="157"/>
      <c r="E45" s="157"/>
      <c r="F45" s="158"/>
    </row>
    <row r="46" spans="1:9" x14ac:dyDescent="0.35">
      <c r="A46" s="157"/>
      <c r="B46" s="157"/>
      <c r="C46" s="156" t="s">
        <v>41</v>
      </c>
      <c r="D46" s="156" t="s">
        <v>42</v>
      </c>
      <c r="E46" s="156" t="s">
        <v>43</v>
      </c>
      <c r="F46" s="158"/>
    </row>
    <row r="47" spans="1:9" x14ac:dyDescent="0.35">
      <c r="A47" s="157" t="s">
        <v>28</v>
      </c>
      <c r="B47" s="156" t="s">
        <v>31</v>
      </c>
      <c r="C47" s="157">
        <f>IF($A$47='Berekening IB ZVW'!C9,1,0)</f>
        <v>1</v>
      </c>
      <c r="D47" s="157">
        <f>IF($A$47='Berekening IB ZVW'!F9,1,0)</f>
        <v>1</v>
      </c>
      <c r="E47" s="157">
        <f>IF($A$47='Berekening IB ZVW'!I9,1,0)</f>
        <v>1</v>
      </c>
      <c r="F47" s="158"/>
    </row>
    <row r="48" spans="1:9" ht="18.75" thickBot="1" x14ac:dyDescent="0.4">
      <c r="A48" s="157" t="s">
        <v>29</v>
      </c>
      <c r="B48" s="167">
        <v>2123</v>
      </c>
      <c r="C48" s="157"/>
      <c r="D48" s="157"/>
      <c r="E48" s="157"/>
      <c r="F48" s="158"/>
    </row>
    <row r="49" ht="18.75" thickTop="1" x14ac:dyDescent="0.35"/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Investering</vt:lpstr>
      <vt:lpstr>Financiering</vt:lpstr>
      <vt:lpstr>Exploitatie</vt:lpstr>
      <vt:lpstr>Liquiditeit Jaar 1</vt:lpstr>
      <vt:lpstr>Liquiditeit Jaar 2</vt:lpstr>
      <vt:lpstr>Liquiditeit Jaar 3</vt:lpstr>
      <vt:lpstr>Berekening IB ZVW</vt:lpstr>
      <vt:lpstr>Formuleblad</vt:lpstr>
    </vt:vector>
  </TitlesOfParts>
  <Company>Vinny27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Coenen</dc:creator>
  <cp:lastModifiedBy>Jeroen Coenen</cp:lastModifiedBy>
  <dcterms:created xsi:type="dcterms:W3CDTF">2014-09-24T07:28:16Z</dcterms:created>
  <dcterms:modified xsi:type="dcterms:W3CDTF">2023-04-21T07:27:34Z</dcterms:modified>
</cp:coreProperties>
</file>