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roe\Dropbox\Sabrina en Jeroen\Jeroen\VBOP\Ondernemingsplannen\Te plaatsen plannen\Speelgoedwinkel (gratis plan)\"/>
    </mc:Choice>
  </mc:AlternateContent>
  <xr:revisionPtr revIDLastSave="0" documentId="13_ncr:1_{18021D2F-6AB3-4A1A-8281-77BE3783C20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Investering" sheetId="4" r:id="rId1"/>
    <sheet name="Financiering" sheetId="5" r:id="rId2"/>
    <sheet name="Exploitatie" sheetId="6" r:id="rId3"/>
    <sheet name="Liquiditeit Jaar 1" sheetId="7" r:id="rId4"/>
    <sheet name="Liquiditeit Jaar 2" sheetId="8" r:id="rId5"/>
    <sheet name="Liquiditeit Jaar 3" sheetId="9" r:id="rId6"/>
  </sheets>
  <externalReferences>
    <externalReference r:id="rId7"/>
  </externalReferences>
  <definedNames>
    <definedName name="Tabel_2">'[1]Menukeuze''s'!$A$8:$A$12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6" l="1"/>
  <c r="D22" i="6"/>
  <c r="C22" i="6"/>
  <c r="B22" i="6"/>
  <c r="B40" i="6"/>
  <c r="B39" i="6"/>
  <c r="C34" i="6"/>
  <c r="D34" i="6" s="1"/>
  <c r="B20" i="4" l="1"/>
  <c r="A51" i="6"/>
  <c r="B51" i="6"/>
  <c r="C51" i="6" s="1"/>
  <c r="D51" i="6" s="1"/>
  <c r="A52" i="6"/>
  <c r="B52" i="6"/>
  <c r="C52" i="6" s="1"/>
  <c r="D52" i="6" s="1"/>
  <c r="A53" i="6"/>
  <c r="B53" i="6"/>
  <c r="C53" i="6" s="1"/>
  <c r="D53" i="6" s="1"/>
  <c r="A54" i="6"/>
  <c r="B54" i="6"/>
  <c r="C54" i="6" s="1"/>
  <c r="D54" i="6" s="1"/>
  <c r="A50" i="6"/>
  <c r="C46" i="6"/>
  <c r="D46" i="6" s="1"/>
  <c r="B14" i="5" l="1"/>
  <c r="B16" i="5" s="1"/>
  <c r="D24" i="6"/>
  <c r="A6" i="6"/>
  <c r="A77" i="6" s="1"/>
  <c r="A107" i="6"/>
  <c r="A103" i="6"/>
  <c r="A97" i="6"/>
  <c r="A96" i="6"/>
  <c r="A95" i="6"/>
  <c r="A23" i="7" s="1"/>
  <c r="A94" i="6"/>
  <c r="A22" i="7" s="1"/>
  <c r="A93" i="6"/>
  <c r="A21" i="7" s="1"/>
  <c r="A92" i="6"/>
  <c r="A20" i="7" s="1"/>
  <c r="C28" i="7"/>
  <c r="D28" i="7"/>
  <c r="E28" i="7"/>
  <c r="F28" i="7"/>
  <c r="G28" i="7"/>
  <c r="H28" i="7"/>
  <c r="I28" i="7"/>
  <c r="J28" i="7"/>
  <c r="K28" i="7"/>
  <c r="L28" i="7"/>
  <c r="M28" i="7"/>
  <c r="B28" i="7"/>
  <c r="U6" i="6"/>
  <c r="B50" i="6"/>
  <c r="C50" i="6" s="1"/>
  <c r="D50" i="6" s="1"/>
  <c r="B20" i="5"/>
  <c r="B22" i="5" s="1"/>
  <c r="B9" i="7" s="1"/>
  <c r="N9" i="7" s="1"/>
  <c r="C39" i="6"/>
  <c r="C40" i="6"/>
  <c r="D40" i="6" s="1"/>
  <c r="B24" i="6"/>
  <c r="N7" i="7"/>
  <c r="C31" i="6"/>
  <c r="D31" i="6" s="1"/>
  <c r="C32" i="6"/>
  <c r="D32" i="6" s="1"/>
  <c r="C33" i="6"/>
  <c r="D33" i="6" s="1"/>
  <c r="C35" i="6"/>
  <c r="D35" i="6" s="1"/>
  <c r="C41" i="6"/>
  <c r="D41" i="6" s="1"/>
  <c r="B36" i="6"/>
  <c r="B93" i="6" s="1"/>
  <c r="B13" i="4"/>
  <c r="B19" i="4" s="1"/>
  <c r="C23" i="6"/>
  <c r="C24" i="6"/>
  <c r="C25" i="6"/>
  <c r="C26" i="6"/>
  <c r="D23" i="6"/>
  <c r="B57" i="6"/>
  <c r="B97" i="6" s="1"/>
  <c r="B23" i="6"/>
  <c r="B26" i="6"/>
  <c r="G20" i="5"/>
  <c r="Q6" i="7"/>
  <c r="Q6" i="8" s="1"/>
  <c r="Q6" i="9" s="1"/>
  <c r="N28" i="9"/>
  <c r="N28" i="8"/>
  <c r="N29" i="9"/>
  <c r="A28" i="8"/>
  <c r="A28" i="9" s="1"/>
  <c r="N18" i="9"/>
  <c r="N7" i="8"/>
  <c r="N8" i="8"/>
  <c r="N9" i="8"/>
  <c r="N10" i="8"/>
  <c r="N12" i="8"/>
  <c r="N13" i="8"/>
  <c r="N14" i="8"/>
  <c r="N15" i="8"/>
  <c r="N16" i="8"/>
  <c r="N18" i="8"/>
  <c r="N19" i="8"/>
  <c r="C97" i="6"/>
  <c r="D97" i="6"/>
  <c r="N7" i="9"/>
  <c r="N8" i="9"/>
  <c r="N9" i="9"/>
  <c r="N10" i="9"/>
  <c r="N12" i="9"/>
  <c r="N13" i="9"/>
  <c r="N14" i="9"/>
  <c r="N15" i="9"/>
  <c r="N16" i="9"/>
  <c r="N19" i="9"/>
  <c r="N24" i="9"/>
  <c r="N25" i="9"/>
  <c r="N30" i="9"/>
  <c r="N33" i="9"/>
  <c r="N35" i="9"/>
  <c r="N36" i="9"/>
  <c r="B10" i="5"/>
  <c r="B8" i="7" s="1"/>
  <c r="N10" i="7"/>
  <c r="N12" i="7"/>
  <c r="N13" i="7"/>
  <c r="N14" i="7"/>
  <c r="N16" i="7"/>
  <c r="N18" i="7"/>
  <c r="N19" i="7"/>
  <c r="N24" i="7"/>
  <c r="N25" i="7"/>
  <c r="N29" i="7"/>
  <c r="N30" i="7"/>
  <c r="N33" i="7"/>
  <c r="N35" i="7"/>
  <c r="N36" i="7"/>
  <c r="N24" i="8"/>
  <c r="N25" i="8"/>
  <c r="N29" i="8"/>
  <c r="N30" i="8"/>
  <c r="N33" i="8"/>
  <c r="N35" i="8"/>
  <c r="N36" i="8"/>
  <c r="A17" i="9"/>
  <c r="A17" i="8"/>
  <c r="A17" i="7"/>
  <c r="A31" i="7"/>
  <c r="A31" i="8" s="1"/>
  <c r="A31" i="9" s="1"/>
  <c r="A83" i="6"/>
  <c r="Q4" i="7"/>
  <c r="Q4" i="8" s="1"/>
  <c r="C28" i="6" l="1"/>
  <c r="B28" i="6"/>
  <c r="U12" i="6"/>
  <c r="O13" i="6" s="1"/>
  <c r="I6" i="8" s="1"/>
  <c r="O7" i="6"/>
  <c r="I6" i="7" s="1"/>
  <c r="P7" i="6"/>
  <c r="J6" i="7" s="1"/>
  <c r="I7" i="6"/>
  <c r="C6" i="7" s="1"/>
  <c r="J7" i="6"/>
  <c r="D6" i="7" s="1"/>
  <c r="L7" i="6"/>
  <c r="F6" i="7" s="1"/>
  <c r="N7" i="6"/>
  <c r="H6" i="7" s="1"/>
  <c r="S7" i="6"/>
  <c r="M6" i="7" s="1"/>
  <c r="M7" i="6"/>
  <c r="G6" i="7" s="1"/>
  <c r="Q7" i="6"/>
  <c r="K6" i="7" s="1"/>
  <c r="R7" i="6"/>
  <c r="L6" i="7" s="1"/>
  <c r="K7" i="6"/>
  <c r="E6" i="7" s="1"/>
  <c r="A6" i="8"/>
  <c r="A6" i="9"/>
  <c r="A6" i="7"/>
  <c r="B42" i="6"/>
  <c r="B94" i="6" s="1"/>
  <c r="I22" i="7" s="1"/>
  <c r="H7" i="6"/>
  <c r="B6" i="7" s="1"/>
  <c r="C21" i="7"/>
  <c r="J21" i="7"/>
  <c r="K21" i="7"/>
  <c r="G21" i="7"/>
  <c r="D21" i="7"/>
  <c r="F21" i="7"/>
  <c r="L21" i="7"/>
  <c r="B21" i="7"/>
  <c r="D36" i="6"/>
  <c r="D93" i="6" s="1"/>
  <c r="K21" i="9" s="1"/>
  <c r="N28" i="7"/>
  <c r="D26" i="6"/>
  <c r="B25" i="6"/>
  <c r="D25" i="6"/>
  <c r="D28" i="6" s="1"/>
  <c r="M21" i="7"/>
  <c r="H21" i="7"/>
  <c r="N13" i="6"/>
  <c r="H6" i="8" s="1"/>
  <c r="C42" i="6"/>
  <c r="C94" i="6" s="1"/>
  <c r="D39" i="6"/>
  <c r="D42" i="6" s="1"/>
  <c r="D94" i="6" s="1"/>
  <c r="E21" i="7"/>
  <c r="I21" i="7"/>
  <c r="C36" i="6"/>
  <c r="C93" i="6" s="1"/>
  <c r="J13" i="6"/>
  <c r="D6" i="8" s="1"/>
  <c r="Q4" i="9"/>
  <c r="Q5" i="7"/>
  <c r="J27" i="7" s="1"/>
  <c r="N8" i="7"/>
  <c r="B24" i="5"/>
  <c r="D55" i="6"/>
  <c r="D96" i="6" s="1"/>
  <c r="C55" i="6"/>
  <c r="B55" i="6"/>
  <c r="I13" i="6" l="1"/>
  <c r="C6" i="8" s="1"/>
  <c r="M13" i="6"/>
  <c r="G6" i="8" s="1"/>
  <c r="G17" i="8" s="1"/>
  <c r="H13" i="6"/>
  <c r="B6" i="8" s="1"/>
  <c r="B17" i="8" s="1"/>
  <c r="F21" i="9"/>
  <c r="S13" i="6"/>
  <c r="M6" i="8" s="1"/>
  <c r="M17" i="8" s="1"/>
  <c r="L13" i="6"/>
  <c r="F6" i="8" s="1"/>
  <c r="F17" i="8" s="1"/>
  <c r="P13" i="6"/>
  <c r="J6" i="8" s="1"/>
  <c r="J17" i="8" s="1"/>
  <c r="M21" i="9"/>
  <c r="R13" i="6"/>
  <c r="L6" i="8" s="1"/>
  <c r="L17" i="8" s="1"/>
  <c r="L21" i="9"/>
  <c r="C21" i="9"/>
  <c r="K13" i="6"/>
  <c r="E6" i="8" s="1"/>
  <c r="E17" i="8" s="1"/>
  <c r="U18" i="6"/>
  <c r="N19" i="6" s="1"/>
  <c r="H6" i="9" s="1"/>
  <c r="Q13" i="6"/>
  <c r="K6" i="8" s="1"/>
  <c r="K17" i="8" s="1"/>
  <c r="J21" i="9"/>
  <c r="C17" i="7"/>
  <c r="C42" i="7"/>
  <c r="F17" i="7"/>
  <c r="F42" i="7"/>
  <c r="B17" i="7"/>
  <c r="B42" i="7"/>
  <c r="E17" i="7"/>
  <c r="E42" i="7"/>
  <c r="M17" i="7"/>
  <c r="M42" i="7"/>
  <c r="D17" i="7"/>
  <c r="D42" i="7"/>
  <c r="H17" i="8"/>
  <c r="H42" i="8"/>
  <c r="H17" i="7"/>
  <c r="H42" i="7"/>
  <c r="I17" i="8"/>
  <c r="I42" i="8"/>
  <c r="I17" i="7"/>
  <c r="I42" i="7"/>
  <c r="G17" i="7"/>
  <c r="G42" i="7"/>
  <c r="D17" i="8"/>
  <c r="D42" i="8"/>
  <c r="K17" i="7"/>
  <c r="K42" i="7"/>
  <c r="J17" i="7"/>
  <c r="J42" i="7"/>
  <c r="L17" i="7"/>
  <c r="L42" i="7"/>
  <c r="C92" i="6"/>
  <c r="F20" i="8" s="1"/>
  <c r="D22" i="7"/>
  <c r="B92" i="6"/>
  <c r="B20" i="7" s="1"/>
  <c r="K22" i="7"/>
  <c r="J22" i="7"/>
  <c r="G11" i="7"/>
  <c r="B21" i="9"/>
  <c r="I11" i="7"/>
  <c r="J11" i="7"/>
  <c r="L22" i="7"/>
  <c r="G22" i="7"/>
  <c r="F11" i="7"/>
  <c r="E22" i="7"/>
  <c r="C22" i="7"/>
  <c r="I21" i="9"/>
  <c r="G21" i="9"/>
  <c r="H21" i="9"/>
  <c r="H22" i="7"/>
  <c r="F22" i="7"/>
  <c r="M22" i="7"/>
  <c r="B22" i="7"/>
  <c r="D21" i="9"/>
  <c r="E21" i="9"/>
  <c r="N6" i="7"/>
  <c r="E11" i="7"/>
  <c r="M11" i="7"/>
  <c r="T7" i="6"/>
  <c r="B6" i="6" s="1"/>
  <c r="B77" i="6" s="1"/>
  <c r="B27" i="7"/>
  <c r="N21" i="7"/>
  <c r="K11" i="7"/>
  <c r="C20" i="7"/>
  <c r="O19" i="6"/>
  <c r="I6" i="9" s="1"/>
  <c r="H19" i="6"/>
  <c r="S19" i="6"/>
  <c r="M6" i="9" s="1"/>
  <c r="I19" i="6"/>
  <c r="C6" i="9" s="1"/>
  <c r="K19" i="6"/>
  <c r="E6" i="9" s="1"/>
  <c r="H11" i="7"/>
  <c r="L11" i="7"/>
  <c r="D11" i="8"/>
  <c r="C11" i="7"/>
  <c r="D21" i="8"/>
  <c r="H21" i="8"/>
  <c r="L21" i="8"/>
  <c r="J21" i="8"/>
  <c r="E21" i="8"/>
  <c r="I21" i="8"/>
  <c r="G21" i="8"/>
  <c r="B21" i="8"/>
  <c r="C21" i="8"/>
  <c r="K21" i="8"/>
  <c r="F21" i="8"/>
  <c r="M21" i="8"/>
  <c r="E22" i="8"/>
  <c r="I22" i="8"/>
  <c r="M22" i="8"/>
  <c r="D22" i="8"/>
  <c r="F22" i="8"/>
  <c r="H22" i="8"/>
  <c r="B22" i="8"/>
  <c r="J22" i="8"/>
  <c r="L22" i="8"/>
  <c r="G22" i="8"/>
  <c r="C22" i="8"/>
  <c r="K22" i="8"/>
  <c r="D11" i="7"/>
  <c r="D22" i="9"/>
  <c r="F22" i="9"/>
  <c r="M22" i="9"/>
  <c r="C22" i="9"/>
  <c r="H22" i="9"/>
  <c r="J22" i="9"/>
  <c r="K22" i="9"/>
  <c r="I22" i="9"/>
  <c r="E22" i="9"/>
  <c r="L22" i="9"/>
  <c r="B22" i="9"/>
  <c r="G22" i="9"/>
  <c r="I11" i="8"/>
  <c r="G26" i="7"/>
  <c r="J26" i="7"/>
  <c r="M26" i="7"/>
  <c r="G27" i="7"/>
  <c r="I27" i="7"/>
  <c r="D26" i="7"/>
  <c r="Q5" i="8"/>
  <c r="C27" i="7"/>
  <c r="E27" i="7"/>
  <c r="D27" i="7"/>
  <c r="K27" i="7"/>
  <c r="M27" i="7"/>
  <c r="H27" i="7"/>
  <c r="F27" i="7"/>
  <c r="L27" i="7"/>
  <c r="C96" i="6"/>
  <c r="B24" i="4"/>
  <c r="B26" i="4" s="1"/>
  <c r="B15" i="7" s="1"/>
  <c r="B96" i="6"/>
  <c r="M42" i="8" l="1"/>
  <c r="R19" i="6"/>
  <c r="L6" i="9" s="1"/>
  <c r="L17" i="9" s="1"/>
  <c r="M19" i="6"/>
  <c r="G6" i="9" s="1"/>
  <c r="G11" i="9" s="1"/>
  <c r="Q19" i="6"/>
  <c r="K6" i="9" s="1"/>
  <c r="K17" i="9" s="1"/>
  <c r="J19" i="6"/>
  <c r="D6" i="9" s="1"/>
  <c r="D42" i="9" s="1"/>
  <c r="B42" i="8"/>
  <c r="G20" i="8"/>
  <c r="L20" i="8"/>
  <c r="P19" i="6"/>
  <c r="J6" i="9" s="1"/>
  <c r="J17" i="9" s="1"/>
  <c r="L19" i="6"/>
  <c r="F6" i="9" s="1"/>
  <c r="F42" i="9" s="1"/>
  <c r="I20" i="7"/>
  <c r="K42" i="8"/>
  <c r="G11" i="8"/>
  <c r="G42" i="8"/>
  <c r="L11" i="8"/>
  <c r="J42" i="8"/>
  <c r="L42" i="8"/>
  <c r="F42" i="8"/>
  <c r="E42" i="8"/>
  <c r="T13" i="6"/>
  <c r="C6" i="6" s="1"/>
  <c r="C8" i="6" s="1"/>
  <c r="C12" i="6" s="1"/>
  <c r="C83" i="6" s="1"/>
  <c r="M20" i="8"/>
  <c r="B20" i="8"/>
  <c r="G42" i="9"/>
  <c r="E17" i="9"/>
  <c r="E42" i="9"/>
  <c r="H20" i="8"/>
  <c r="D20" i="8"/>
  <c r="I20" i="8"/>
  <c r="M17" i="9"/>
  <c r="M42" i="9"/>
  <c r="I17" i="9"/>
  <c r="I42" i="9"/>
  <c r="K20" i="8"/>
  <c r="E20" i="8"/>
  <c r="C17" i="9"/>
  <c r="C42" i="9"/>
  <c r="C20" i="8"/>
  <c r="H17" i="9"/>
  <c r="H42" i="9"/>
  <c r="C17" i="8"/>
  <c r="C42" i="8"/>
  <c r="J20" i="8"/>
  <c r="D20" i="7"/>
  <c r="J20" i="7"/>
  <c r="K20" i="7"/>
  <c r="H20" i="7"/>
  <c r="F20" i="7"/>
  <c r="G20" i="7"/>
  <c r="L20" i="7"/>
  <c r="M20" i="7"/>
  <c r="E20" i="7"/>
  <c r="D92" i="6"/>
  <c r="N22" i="7"/>
  <c r="N21" i="9"/>
  <c r="E11" i="8"/>
  <c r="K11" i="8"/>
  <c r="H11" i="8"/>
  <c r="M11" i="8"/>
  <c r="J11" i="8"/>
  <c r="F11" i="8"/>
  <c r="N27" i="7"/>
  <c r="B63" i="6" s="1"/>
  <c r="B103" i="6" s="1"/>
  <c r="B11" i="8"/>
  <c r="N42" i="7"/>
  <c r="B11" i="7"/>
  <c r="N11" i="7" s="1"/>
  <c r="C47" i="6"/>
  <c r="C59" i="6" s="1"/>
  <c r="B8" i="6"/>
  <c r="B12" i="6" s="1"/>
  <c r="B47" i="6"/>
  <c r="B59" i="6" s="1"/>
  <c r="E11" i="9"/>
  <c r="H11" i="9"/>
  <c r="C11" i="8"/>
  <c r="N6" i="8"/>
  <c r="C11" i="9"/>
  <c r="K11" i="9"/>
  <c r="B6" i="9"/>
  <c r="N22" i="9"/>
  <c r="N22" i="8"/>
  <c r="N21" i="8"/>
  <c r="M11" i="9"/>
  <c r="L11" i="9"/>
  <c r="I11" i="9"/>
  <c r="Q5" i="9"/>
  <c r="G26" i="8"/>
  <c r="M26" i="8"/>
  <c r="D26" i="8"/>
  <c r="J26" i="8"/>
  <c r="M27" i="8"/>
  <c r="C27" i="8"/>
  <c r="I27" i="8"/>
  <c r="F27" i="8"/>
  <c r="B27" i="8"/>
  <c r="J27" i="8"/>
  <c r="G27" i="8"/>
  <c r="H27" i="8"/>
  <c r="L27" i="8"/>
  <c r="E27" i="8"/>
  <c r="D27" i="8"/>
  <c r="K27" i="8"/>
  <c r="N26" i="7"/>
  <c r="B42" i="4"/>
  <c r="B51" i="4" s="1"/>
  <c r="N15" i="7"/>
  <c r="J11" i="9" l="1"/>
  <c r="J42" i="9"/>
  <c r="K42" i="9"/>
  <c r="G17" i="9"/>
  <c r="L42" i="9"/>
  <c r="D11" i="9"/>
  <c r="D17" i="9"/>
  <c r="F17" i="9"/>
  <c r="F11" i="9"/>
  <c r="T19" i="6"/>
  <c r="D6" i="6" s="1"/>
  <c r="D77" i="6" s="1"/>
  <c r="C77" i="6"/>
  <c r="C79" i="6" s="1"/>
  <c r="N20" i="8"/>
  <c r="B17" i="9"/>
  <c r="B42" i="9"/>
  <c r="N20" i="7"/>
  <c r="C20" i="9"/>
  <c r="M20" i="9"/>
  <c r="I20" i="9"/>
  <c r="F20" i="9"/>
  <c r="B20" i="9"/>
  <c r="G20" i="9"/>
  <c r="D20" i="9"/>
  <c r="J20" i="9"/>
  <c r="K20" i="9"/>
  <c r="H20" i="9"/>
  <c r="E20" i="9"/>
  <c r="L20" i="9"/>
  <c r="N11" i="8"/>
  <c r="C14" i="6"/>
  <c r="C16" i="6" s="1"/>
  <c r="C17" i="6" s="1"/>
  <c r="C85" i="6"/>
  <c r="B83" i="6"/>
  <c r="B85" i="6" s="1"/>
  <c r="B14" i="6"/>
  <c r="B16" i="6" s="1"/>
  <c r="B17" i="6" s="1"/>
  <c r="D47" i="6"/>
  <c r="D59" i="6" s="1"/>
  <c r="B95" i="6"/>
  <c r="B11" i="9"/>
  <c r="N6" i="9"/>
  <c r="N17" i="7"/>
  <c r="B79" i="6"/>
  <c r="C95" i="6"/>
  <c r="N17" i="8"/>
  <c r="N27" i="8"/>
  <c r="C63" i="6" s="1"/>
  <c r="M26" i="9"/>
  <c r="D26" i="9"/>
  <c r="G26" i="9"/>
  <c r="J26" i="9"/>
  <c r="D27" i="9"/>
  <c r="J27" i="9"/>
  <c r="H27" i="9"/>
  <c r="M27" i="9"/>
  <c r="L27" i="9"/>
  <c r="C27" i="9"/>
  <c r="E27" i="9"/>
  <c r="G27" i="9"/>
  <c r="I27" i="9"/>
  <c r="K27" i="9"/>
  <c r="B27" i="9"/>
  <c r="F27" i="9"/>
  <c r="N26" i="8"/>
  <c r="N11" i="9" l="1"/>
  <c r="D8" i="6"/>
  <c r="D12" i="6" s="1"/>
  <c r="D83" i="6" s="1"/>
  <c r="D85" i="6" s="1"/>
  <c r="C61" i="6"/>
  <c r="C65" i="6" s="1"/>
  <c r="N20" i="9"/>
  <c r="N27" i="9"/>
  <c r="D63" i="6" s="1"/>
  <c r="D103" i="6" s="1"/>
  <c r="B87" i="6"/>
  <c r="B88" i="6" s="1"/>
  <c r="C87" i="6"/>
  <c r="C88" i="6" s="1"/>
  <c r="I23" i="7"/>
  <c r="J23" i="7"/>
  <c r="L23" i="7"/>
  <c r="E23" i="7"/>
  <c r="F23" i="7"/>
  <c r="G23" i="7"/>
  <c r="H23" i="7"/>
  <c r="K23" i="7"/>
  <c r="C23" i="7"/>
  <c r="B23" i="7"/>
  <c r="B43" i="7" s="1"/>
  <c r="M23" i="7"/>
  <c r="D23" i="7"/>
  <c r="B99" i="6"/>
  <c r="D95" i="6"/>
  <c r="C23" i="8"/>
  <c r="G23" i="8"/>
  <c r="K23" i="8"/>
  <c r="F23" i="8"/>
  <c r="D23" i="8"/>
  <c r="L23" i="8"/>
  <c r="B23" i="8"/>
  <c r="B43" i="8" s="1"/>
  <c r="E23" i="8"/>
  <c r="I23" i="8"/>
  <c r="M23" i="8"/>
  <c r="H23" i="8"/>
  <c r="J23" i="8"/>
  <c r="C99" i="6"/>
  <c r="B61" i="6"/>
  <c r="B65" i="6" s="1"/>
  <c r="N17" i="9"/>
  <c r="D79" i="6"/>
  <c r="N26" i="9"/>
  <c r="C103" i="6"/>
  <c r="D14" i="6" l="1"/>
  <c r="D16" i="6" s="1"/>
  <c r="D17" i="6" s="1"/>
  <c r="B67" i="6"/>
  <c r="B69" i="6" s="1"/>
  <c r="C67" i="6"/>
  <c r="C69" i="6" s="1"/>
  <c r="J43" i="7"/>
  <c r="J44" i="7" s="1"/>
  <c r="C43" i="8"/>
  <c r="C44" i="8" s="1"/>
  <c r="E43" i="8"/>
  <c r="E44" i="8" s="1"/>
  <c r="H43" i="7"/>
  <c r="H44" i="7" s="1"/>
  <c r="G43" i="8"/>
  <c r="G44" i="8" s="1"/>
  <c r="K43" i="7"/>
  <c r="K44" i="7" s="1"/>
  <c r="L43" i="8"/>
  <c r="L44" i="8" s="1"/>
  <c r="I43" i="8"/>
  <c r="I44" i="8" s="1"/>
  <c r="M43" i="8"/>
  <c r="M44" i="8" s="1"/>
  <c r="C43" i="7"/>
  <c r="C44" i="7" s="1"/>
  <c r="D43" i="8"/>
  <c r="D44" i="8" s="1"/>
  <c r="F43" i="7"/>
  <c r="F44" i="7" s="1"/>
  <c r="J43" i="8"/>
  <c r="J44" i="8" s="1"/>
  <c r="F43" i="8"/>
  <c r="F44" i="8" s="1"/>
  <c r="D43" i="7"/>
  <c r="D44" i="7" s="1"/>
  <c r="E43" i="7"/>
  <c r="E44" i="7" s="1"/>
  <c r="I43" i="7"/>
  <c r="I44" i="7" s="1"/>
  <c r="G43" i="7"/>
  <c r="G44" i="7" s="1"/>
  <c r="H43" i="8"/>
  <c r="H44" i="8" s="1"/>
  <c r="K43" i="8"/>
  <c r="K44" i="8" s="1"/>
  <c r="M43" i="7"/>
  <c r="M44" i="7" s="1"/>
  <c r="L43" i="7"/>
  <c r="L44" i="7" s="1"/>
  <c r="B101" i="6"/>
  <c r="B105" i="6" s="1"/>
  <c r="C101" i="6"/>
  <c r="C105" i="6" s="1"/>
  <c r="D87" i="6"/>
  <c r="D88" i="6" s="1"/>
  <c r="D61" i="6"/>
  <c r="D65" i="6" s="1"/>
  <c r="N23" i="7"/>
  <c r="N43" i="7" s="1"/>
  <c r="B44" i="7"/>
  <c r="N23" i="8"/>
  <c r="B44" i="8"/>
  <c r="C23" i="9"/>
  <c r="L23" i="9"/>
  <c r="H23" i="9"/>
  <c r="D23" i="9"/>
  <c r="B23" i="9"/>
  <c r="B43" i="9" s="1"/>
  <c r="K23" i="9"/>
  <c r="M23" i="9"/>
  <c r="I23" i="9"/>
  <c r="J23" i="9"/>
  <c r="G23" i="9"/>
  <c r="F23" i="9"/>
  <c r="E23" i="9"/>
  <c r="D99" i="6"/>
  <c r="D67" i="6" l="1"/>
  <c r="D69" i="6" s="1"/>
  <c r="B32" i="9"/>
  <c r="K32" i="8"/>
  <c r="K32" i="7"/>
  <c r="D101" i="6"/>
  <c r="D105" i="6" s="1"/>
  <c r="B32" i="8"/>
  <c r="H32" i="8"/>
  <c r="H32" i="7"/>
  <c r="D43" i="9"/>
  <c r="D44" i="9" s="1"/>
  <c r="E43" i="9"/>
  <c r="E44" i="9" s="1"/>
  <c r="E32" i="7"/>
  <c r="J43" i="9"/>
  <c r="J44" i="9" s="1"/>
  <c r="C43" i="9"/>
  <c r="C44" i="9" s="1"/>
  <c r="G43" i="9"/>
  <c r="G44" i="9" s="1"/>
  <c r="I43" i="9"/>
  <c r="I44" i="9" s="1"/>
  <c r="E32" i="8"/>
  <c r="F43" i="9"/>
  <c r="F44" i="9" s="1"/>
  <c r="M43" i="9"/>
  <c r="M44" i="9" s="1"/>
  <c r="K43" i="9"/>
  <c r="K44" i="9" s="1"/>
  <c r="H43" i="9"/>
  <c r="H44" i="9" s="1"/>
  <c r="L43" i="9"/>
  <c r="L44" i="9" s="1"/>
  <c r="N23" i="9"/>
  <c r="B44" i="9"/>
  <c r="N32" i="8" l="1"/>
  <c r="K32" i="9"/>
  <c r="N32" i="7"/>
  <c r="H32" i="9"/>
  <c r="E32" i="9"/>
  <c r="N32" i="9" l="1"/>
  <c r="I31" i="8"/>
  <c r="I34" i="8" s="1"/>
  <c r="I38" i="8" s="1"/>
  <c r="L31" i="7"/>
  <c r="L34" i="7" s="1"/>
  <c r="L38" i="7" s="1"/>
  <c r="F31" i="7" l="1"/>
  <c r="F34" i="7" s="1"/>
  <c r="F38" i="7" s="1"/>
  <c r="E31" i="7"/>
  <c r="E34" i="7" s="1"/>
  <c r="E38" i="7" s="1"/>
  <c r="G31" i="7"/>
  <c r="G34" i="7" s="1"/>
  <c r="G38" i="7" s="1"/>
  <c r="E31" i="8"/>
  <c r="E34" i="8" s="1"/>
  <c r="E38" i="8" s="1"/>
  <c r="B31" i="8"/>
  <c r="B34" i="8" s="1"/>
  <c r="B38" i="8" s="1"/>
  <c r="J31" i="8"/>
  <c r="J34" i="8" s="1"/>
  <c r="J38" i="8" s="1"/>
  <c r="F31" i="8"/>
  <c r="F34" i="8" s="1"/>
  <c r="F38" i="8" s="1"/>
  <c r="C107" i="6"/>
  <c r="C109" i="6" s="1"/>
  <c r="M31" i="8"/>
  <c r="M34" i="8" s="1"/>
  <c r="M38" i="8" s="1"/>
  <c r="L31" i="8"/>
  <c r="L34" i="8" s="1"/>
  <c r="L38" i="8" s="1"/>
  <c r="G31" i="8"/>
  <c r="G34" i="8" s="1"/>
  <c r="G38" i="8" s="1"/>
  <c r="H31" i="8"/>
  <c r="H34" i="8" s="1"/>
  <c r="H38" i="8" s="1"/>
  <c r="D31" i="8"/>
  <c r="D34" i="8" s="1"/>
  <c r="D38" i="8" s="1"/>
  <c r="M31" i="7"/>
  <c r="M34" i="7" s="1"/>
  <c r="M38" i="7" s="1"/>
  <c r="B107" i="6"/>
  <c r="B109" i="6" s="1"/>
  <c r="D31" i="7"/>
  <c r="D34" i="7" s="1"/>
  <c r="D38" i="7" s="1"/>
  <c r="C31" i="7"/>
  <c r="C34" i="7" s="1"/>
  <c r="C38" i="7" s="1"/>
  <c r="J31" i="7"/>
  <c r="J34" i="7" s="1"/>
  <c r="J38" i="7" s="1"/>
  <c r="I31" i="7"/>
  <c r="I34" i="7" s="1"/>
  <c r="I38" i="7" s="1"/>
  <c r="K31" i="8"/>
  <c r="K34" i="8" s="1"/>
  <c r="K38" i="8" s="1"/>
  <c r="C31" i="8"/>
  <c r="C34" i="8" s="1"/>
  <c r="C38" i="8" s="1"/>
  <c r="B31" i="7"/>
  <c r="B34" i="7" s="1"/>
  <c r="K31" i="7"/>
  <c r="K34" i="7" s="1"/>
  <c r="K38" i="7" s="1"/>
  <c r="H31" i="7"/>
  <c r="H34" i="7" s="1"/>
  <c r="H38" i="7" s="1"/>
  <c r="M31" i="9"/>
  <c r="M34" i="9" s="1"/>
  <c r="M38" i="9" s="1"/>
  <c r="J31" i="9"/>
  <c r="J34" i="9" s="1"/>
  <c r="J38" i="9" s="1"/>
  <c r="D107" i="6"/>
  <c r="D109" i="6" s="1"/>
  <c r="G31" i="9"/>
  <c r="G34" i="9" s="1"/>
  <c r="G38" i="9" s="1"/>
  <c r="B31" i="9"/>
  <c r="L31" i="9"/>
  <c r="L34" i="9" s="1"/>
  <c r="L38" i="9" s="1"/>
  <c r="F31" i="9"/>
  <c r="F34" i="9" s="1"/>
  <c r="F38" i="9" s="1"/>
  <c r="C31" i="9"/>
  <c r="C34" i="9" s="1"/>
  <c r="C38" i="9" s="1"/>
  <c r="E31" i="9"/>
  <c r="E34" i="9" s="1"/>
  <c r="E38" i="9" s="1"/>
  <c r="I31" i="9"/>
  <c r="I34" i="9" s="1"/>
  <c r="I38" i="9" s="1"/>
  <c r="D31" i="9"/>
  <c r="D34" i="9" s="1"/>
  <c r="D38" i="9" s="1"/>
  <c r="K31" i="9"/>
  <c r="K34" i="9" s="1"/>
  <c r="K38" i="9" s="1"/>
  <c r="H31" i="9"/>
  <c r="H34" i="9" s="1"/>
  <c r="H38" i="9" s="1"/>
  <c r="N38" i="8" l="1"/>
  <c r="N34" i="8"/>
  <c r="N31" i="8"/>
  <c r="N31" i="7"/>
  <c r="B38" i="7"/>
  <c r="N34" i="7"/>
  <c r="N31" i="9"/>
  <c r="B34" i="9"/>
  <c r="N38" i="7" l="1"/>
  <c r="B39" i="7"/>
  <c r="C37" i="7" s="1"/>
  <c r="C39" i="7" s="1"/>
  <c r="N34" i="9"/>
  <c r="B38" i="9"/>
  <c r="N38" i="9" s="1"/>
  <c r="D37" i="7" l="1"/>
  <c r="D39" i="7" l="1"/>
  <c r="E37" i="7" l="1"/>
  <c r="E39" i="7" l="1"/>
  <c r="F37" i="7" l="1"/>
  <c r="F39" i="7" l="1"/>
  <c r="G37" i="7" l="1"/>
  <c r="G39" i="7" l="1"/>
  <c r="H37" i="7" s="1"/>
  <c r="H39" i="7" s="1"/>
  <c r="I37" i="7" s="1"/>
  <c r="I39" i="7" s="1"/>
  <c r="J37" i="7" s="1"/>
  <c r="J39" i="7" s="1"/>
  <c r="K37" i="7" s="1"/>
  <c r="K39" i="7" s="1"/>
  <c r="L37" i="7" s="1"/>
  <c r="L39" i="7" s="1"/>
  <c r="M37" i="7" s="1"/>
  <c r="M39" i="7" s="1"/>
  <c r="N37" i="7" l="1"/>
  <c r="B37" i="8"/>
  <c r="N39" i="7"/>
  <c r="B39" i="8" l="1"/>
  <c r="C37" i="8" l="1"/>
  <c r="C39" i="8" l="1"/>
  <c r="D37" i="8" l="1"/>
  <c r="D39" i="8" l="1"/>
  <c r="E37" i="8" l="1"/>
  <c r="E39" i="8" l="1"/>
  <c r="F37" i="8" l="1"/>
  <c r="F39" i="8" l="1"/>
  <c r="G37" i="8" l="1"/>
  <c r="G39" i="8" s="1"/>
  <c r="H37" i="8" s="1"/>
  <c r="H39" i="8" s="1"/>
  <c r="I37" i="8" s="1"/>
  <c r="I39" i="8" s="1"/>
  <c r="J37" i="8" s="1"/>
  <c r="J39" i="8" s="1"/>
  <c r="K37" i="8" s="1"/>
  <c r="K39" i="8" s="1"/>
  <c r="L37" i="8" s="1"/>
  <c r="L39" i="8" s="1"/>
  <c r="M37" i="8" s="1"/>
  <c r="M39" i="8" l="1"/>
  <c r="N37" i="8"/>
  <c r="B37" i="9" l="1"/>
  <c r="N39" i="8"/>
  <c r="B39" i="9" l="1"/>
  <c r="C37" i="9" l="1"/>
  <c r="C39" i="9" l="1"/>
  <c r="D37" i="9" l="1"/>
  <c r="D39" i="9" l="1"/>
  <c r="E37" i="9" l="1"/>
  <c r="E39" i="9" l="1"/>
  <c r="F37" i="9" l="1"/>
  <c r="F39" i="9" l="1"/>
  <c r="G37" i="9" l="1"/>
  <c r="G39" i="9" s="1"/>
  <c r="H37" i="9" s="1"/>
  <c r="H39" i="9" s="1"/>
  <c r="I37" i="9" s="1"/>
  <c r="I39" i="9" s="1"/>
  <c r="J37" i="9" s="1"/>
  <c r="J39" i="9" s="1"/>
  <c r="K37" i="9" s="1"/>
  <c r="K39" i="9" s="1"/>
  <c r="L37" i="9" s="1"/>
  <c r="L39" i="9" s="1"/>
  <c r="M37" i="9" s="1"/>
  <c r="M39" i="9" l="1"/>
  <c r="N39" i="9" s="1"/>
  <c r="N37" i="9"/>
</calcChain>
</file>

<file path=xl/sharedStrings.xml><?xml version="1.0" encoding="utf-8"?>
<sst xmlns="http://schemas.openxmlformats.org/spreadsheetml/2006/main" count="200" uniqueCount="110">
  <si>
    <t>Jaar 1</t>
  </si>
  <si>
    <t>Jaar 2</t>
  </si>
  <si>
    <t>Jaar 3</t>
  </si>
  <si>
    <t>Investering</t>
  </si>
  <si>
    <t>Vaste Activa</t>
  </si>
  <si>
    <t>Bedrag</t>
  </si>
  <si>
    <t>Overig</t>
  </si>
  <si>
    <t>Totaal Vaste Activa</t>
  </si>
  <si>
    <t>Vlottende Activa</t>
  </si>
  <si>
    <t>Voorraden</t>
  </si>
  <si>
    <t>Openings- en aanloopkosten</t>
  </si>
  <si>
    <t>Voorfinanciering BTW</t>
  </si>
  <si>
    <t>Banksaldo</t>
  </si>
  <si>
    <t>Totaal Vlottende Activa</t>
  </si>
  <si>
    <t>Totaal Investering</t>
  </si>
  <si>
    <t>Totaal vermogen</t>
  </si>
  <si>
    <t>Totaal vreemd vermogen lang</t>
  </si>
  <si>
    <t>Vreemd vermogen lang</t>
  </si>
  <si>
    <t>Totaal vreemd vermogen kort</t>
  </si>
  <si>
    <t>Vreemd vermogen kort</t>
  </si>
  <si>
    <t>Totaal eigen vermogen</t>
  </si>
  <si>
    <t>Eigen vermogen</t>
  </si>
  <si>
    <t>Financiering</t>
  </si>
  <si>
    <t>Bedrijfsresultaat voor belasting</t>
  </si>
  <si>
    <t>Rentekosten</t>
  </si>
  <si>
    <t>Bedrijfsresultaat voor belasting en rente</t>
  </si>
  <si>
    <t>Totale kosten</t>
  </si>
  <si>
    <t>Afschrijvingen</t>
  </si>
  <si>
    <t>Verkoopkosten</t>
  </si>
  <si>
    <t>Huisvestingskosten</t>
  </si>
  <si>
    <t>Inventaris- en kantoorkosten</t>
  </si>
  <si>
    <t xml:space="preserve">Personeelskosten </t>
  </si>
  <si>
    <t>Kosten (excl. BTW)</t>
  </si>
  <si>
    <t>Brutowinstmarge (%)</t>
  </si>
  <si>
    <t>Bruto winst</t>
  </si>
  <si>
    <t>Totaal Inkoopwaarde</t>
  </si>
  <si>
    <t>Inkoopkosten</t>
  </si>
  <si>
    <t>Totaal omzet</t>
  </si>
  <si>
    <t>Omzet (excl. BTW)</t>
  </si>
  <si>
    <t>Totaal Afschrijvingen</t>
  </si>
  <si>
    <t>Verzekeringen</t>
  </si>
  <si>
    <t>Totaal Verkoopkosten</t>
  </si>
  <si>
    <t>Reclame- en promotiekosten</t>
  </si>
  <si>
    <t>Totaal Huisvestingskosten</t>
  </si>
  <si>
    <t>Onderhoud en schoonmaak</t>
  </si>
  <si>
    <t>Gas, water, elektra</t>
  </si>
  <si>
    <t>Huur</t>
  </si>
  <si>
    <t>Totaal Inventaris- en kantoorkosten</t>
  </si>
  <si>
    <t>Administratiekosten</t>
  </si>
  <si>
    <t>Telefoon en Internet</t>
  </si>
  <si>
    <t>Kantoorbenodigdheden</t>
  </si>
  <si>
    <t>Totaal Personeelskosten</t>
  </si>
  <si>
    <t xml:space="preserve">Pensioenpremies </t>
  </si>
  <si>
    <t>Vakantietoeslag</t>
  </si>
  <si>
    <t xml:space="preserve">Sociale lasten </t>
  </si>
  <si>
    <t>Brutoloon</t>
  </si>
  <si>
    <t xml:space="preserve">Exploitatiebegroting </t>
  </si>
  <si>
    <t>Rente %</t>
  </si>
  <si>
    <t>Aflossing per kwartaal</t>
  </si>
  <si>
    <t>Totale financiering</t>
  </si>
  <si>
    <t>Financiering:</t>
  </si>
  <si>
    <t>Te betalen BTW</t>
  </si>
  <si>
    <t>Te vorderen BTW</t>
  </si>
  <si>
    <t>Af te dragen BTW</t>
  </si>
  <si>
    <t>Eind Liquiditeit</t>
  </si>
  <si>
    <t>Verandering</t>
  </si>
  <si>
    <t>Begin Liquiditeit</t>
  </si>
  <si>
    <t xml:space="preserve">Totale uitgaven </t>
  </si>
  <si>
    <t xml:space="preserve">Te betalen/te vorderen BTW </t>
  </si>
  <si>
    <t>Belastingen</t>
  </si>
  <si>
    <t>Rentekosten kort vreemd vermogen</t>
  </si>
  <si>
    <t>Rentekosten lang vreemd vermogen</t>
  </si>
  <si>
    <t>Aflossingen lang vreemd vermogen</t>
  </si>
  <si>
    <t>Rente en aflossing</t>
  </si>
  <si>
    <t>Kosten</t>
  </si>
  <si>
    <t>Investeringen</t>
  </si>
  <si>
    <t>Totale ontvangsten</t>
  </si>
  <si>
    <t>Lang vreemd vermogen</t>
  </si>
  <si>
    <t>Liquiditeitsbegroting jaar 1</t>
  </si>
  <si>
    <t>Liquiditeitsbegroting jaar 2</t>
  </si>
  <si>
    <t>Liquiditeitsbegroting jaar 3</t>
  </si>
  <si>
    <t>Afschrijvingstermijn (in jaren)</t>
  </si>
  <si>
    <t>Leningbedrag</t>
  </si>
  <si>
    <t>Aantal jaar</t>
  </si>
  <si>
    <t>Aantal kwartalen</t>
  </si>
  <si>
    <t>TOTAAL</t>
  </si>
  <si>
    <t>Maand</t>
  </si>
  <si>
    <t>Aantal klanten</t>
  </si>
  <si>
    <t>Omzet</t>
  </si>
  <si>
    <t>Waarborgsom huur</t>
  </si>
  <si>
    <t>Bedrijfsresultaat na belasting</t>
  </si>
  <si>
    <t>Ontvangsten (incl. BTW)</t>
  </si>
  <si>
    <t>Uitgaven (incl. BTW)</t>
  </si>
  <si>
    <t>Verbouwing</t>
  </si>
  <si>
    <t>Prijs incl. BTW</t>
  </si>
  <si>
    <t>Spaargeld</t>
  </si>
  <si>
    <t>Achtergestelde leningen (familie e.d.)</t>
  </si>
  <si>
    <t>Inbreng bedrijfsmiddelen (reeds aangeschaft)</t>
  </si>
  <si>
    <t>Rekening-courantkrediet (8%)</t>
  </si>
  <si>
    <t>Rente</t>
  </si>
  <si>
    <t>Langlopende lening (5 jaar | 7%)</t>
  </si>
  <si>
    <t>Inkoop %</t>
  </si>
  <si>
    <t>Samenvatting Exploitatie</t>
  </si>
  <si>
    <t>Inrichting en inventaris</t>
  </si>
  <si>
    <t xml:space="preserve">Inkoop </t>
  </si>
  <si>
    <t>Kosten website onderhoud, hosting e.d.</t>
  </si>
  <si>
    <t>Kassasysteem</t>
  </si>
  <si>
    <t>Website en opzet online marketing</t>
  </si>
  <si>
    <t>Vennootschapsbelasting</t>
  </si>
  <si>
    <t>DGA vergoeding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</si>
</sst>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5" formatCode="_-&quot;fl&quot;\ * #,##0.00_-;_-&quot;fl&quot;\ * #,##0.00\-;_-&quot;fl&quot;\ * &quot;-&quot;??_-;_-@_-"/>
    <numFmt numFmtId="166" formatCode="_-[$€-2]\ * #,##0_-;_-[$€-2]\ * #,##0\-;_-[$€-2]\ * &quot;-&quot;??_-;_-@_-"/>
    <numFmt numFmtId="167" formatCode="_-[$€-2]\ * #,##0.00_-;_-[$€-2]\ * #,##0.00\-;_-[$€-2]\ * &quot;-&quot;??_-;_-@_-"/>
    <numFmt numFmtId="168" formatCode="&quot;€&quot;\ #,##0_-"/>
    <numFmt numFmtId="169" formatCode="0.0%"/>
    <numFmt numFmtId="170" formatCode="&quot;€&quot;\ #,##0.00_-"/>
    <numFmt numFmtId="171" formatCode="[$€-2]\ #,##0.00_-"/>
    <numFmt numFmtId="172" formatCode="_ * #,##0_ ;_ * \-#,##0_ ;_ * &quot;-&quot;??_ ;_ @_ "/>
    <numFmt numFmtId="173" formatCode="_ [$€-2]\ * #,##0_ ;_ [$€-2]\ * \-#,##0_ ;_ [$€-2]\ * &quot;-&quot;??_ ;_ @_ "/>
    <numFmt numFmtId="174" formatCode="_ &quot;€&quot;\ * #,##0.0_ ;_ &quot;€&quot;\ * \-#,##0.0_ ;_ &quot;€&quot;\ * &quot;-&quot;??_ ;_ @_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Cambria"/>
      <family val="1"/>
    </font>
    <font>
      <i/>
      <sz val="10"/>
      <name val="Cambria"/>
      <family val="1"/>
    </font>
    <font>
      <sz val="8"/>
      <name val="Cambria"/>
      <family val="1"/>
    </font>
    <font>
      <sz val="11"/>
      <color theme="1"/>
      <name val="Calibri"/>
      <family val="2"/>
      <scheme val="minor"/>
    </font>
    <font>
      <b/>
      <sz val="22"/>
      <name val="Barlow"/>
    </font>
    <font>
      <sz val="11"/>
      <name val="Barlow"/>
    </font>
    <font>
      <sz val="11"/>
      <color theme="1"/>
      <name val="Barlow"/>
    </font>
    <font>
      <b/>
      <sz val="11"/>
      <name val="Barlow"/>
    </font>
    <font>
      <b/>
      <i/>
      <sz val="11"/>
      <name val="Barlow"/>
    </font>
    <font>
      <i/>
      <sz val="11"/>
      <name val="Barlow"/>
    </font>
    <font>
      <b/>
      <sz val="11"/>
      <color theme="0"/>
      <name val="Barlow"/>
    </font>
    <font>
      <sz val="11"/>
      <color rgb="FFFF0000"/>
      <name val="Barlow"/>
    </font>
    <font>
      <b/>
      <sz val="11"/>
      <color indexed="8"/>
      <name val="Barlow"/>
    </font>
    <font>
      <sz val="11"/>
      <color indexed="8"/>
      <name val="Barlow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EDF7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A5D9FF"/>
      </bottom>
      <diagonal/>
    </border>
    <border>
      <left style="thin">
        <color indexed="64"/>
      </left>
      <right/>
      <top/>
      <bottom style="thin">
        <color rgb="FFA5D9FF"/>
      </bottom>
      <diagonal/>
    </border>
    <border>
      <left/>
      <right style="thin">
        <color indexed="64"/>
      </right>
      <top/>
      <bottom style="thin">
        <color rgb="FFA5D9FF"/>
      </bottom>
      <diagonal/>
    </border>
    <border>
      <left/>
      <right/>
      <top style="thin">
        <color rgb="FFA5D9FF"/>
      </top>
      <bottom style="thin">
        <color indexed="64"/>
      </bottom>
      <diagonal/>
    </border>
    <border>
      <left/>
      <right style="thin">
        <color indexed="64"/>
      </right>
      <top style="thin">
        <color rgb="FFA5D9F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A5D9FF"/>
      </bottom>
      <diagonal/>
    </border>
    <border>
      <left/>
      <right style="thin">
        <color indexed="64"/>
      </right>
      <top style="thin">
        <color indexed="64"/>
      </top>
      <bottom style="thin">
        <color rgb="FFA5D9FF"/>
      </bottom>
      <diagonal/>
    </border>
    <border>
      <left/>
      <right/>
      <top style="thin">
        <color indexed="64"/>
      </top>
      <bottom style="thin">
        <color rgb="FFA5D9FF"/>
      </bottom>
      <diagonal/>
    </border>
    <border>
      <left style="thin">
        <color auto="1"/>
      </left>
      <right/>
      <top style="thin">
        <color rgb="FFA5D9FF"/>
      </top>
      <bottom style="thin">
        <color indexed="64"/>
      </bottom>
      <diagonal/>
    </border>
    <border>
      <left/>
      <right style="thin">
        <color auto="1"/>
      </right>
      <top style="thin">
        <color rgb="FFA5D9FF"/>
      </top>
      <bottom/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1"/>
    <xf numFmtId="165" fontId="0" fillId="0" borderId="0" xfId="2" applyFont="1"/>
    <xf numFmtId="0" fontId="4" fillId="0" borderId="0" xfId="1" applyFont="1"/>
    <xf numFmtId="0" fontId="4" fillId="0" borderId="7" xfId="1" applyFont="1" applyBorder="1"/>
    <xf numFmtId="166" fontId="4" fillId="0" borderId="0" xfId="2" applyNumberFormat="1" applyFont="1" applyBorder="1"/>
    <xf numFmtId="0" fontId="4" fillId="0" borderId="8" xfId="1" applyFont="1" applyBorder="1"/>
    <xf numFmtId="0" fontId="5" fillId="0" borderId="0" xfId="1" applyFont="1"/>
    <xf numFmtId="0" fontId="6" fillId="0" borderId="0" xfId="1" applyFont="1"/>
    <xf numFmtId="167" fontId="0" fillId="0" borderId="0" xfId="2" applyNumberFormat="1" applyFont="1" applyBorder="1"/>
    <xf numFmtId="167" fontId="0" fillId="0" borderId="0" xfId="2" applyNumberFormat="1" applyFont="1"/>
    <xf numFmtId="0" fontId="7" fillId="0" borderId="0" xfId="1" applyFont="1"/>
    <xf numFmtId="167" fontId="7" fillId="0" borderId="0" xfId="2" applyNumberFormat="1" applyFont="1" applyBorder="1"/>
    <xf numFmtId="167" fontId="0" fillId="0" borderId="0" xfId="2" applyNumberFormat="1" applyFont="1" applyFill="1" applyBorder="1"/>
    <xf numFmtId="0" fontId="8" fillId="0" borderId="0" xfId="1" applyFont="1"/>
    <xf numFmtId="165" fontId="8" fillId="0" borderId="0" xfId="2" applyFont="1"/>
    <xf numFmtId="165" fontId="4" fillId="0" borderId="0" xfId="2" applyFont="1"/>
    <xf numFmtId="9" fontId="5" fillId="0" borderId="0" xfId="3" applyFont="1"/>
    <xf numFmtId="0" fontId="9" fillId="0" borderId="0" xfId="1" applyFont="1"/>
    <xf numFmtId="168" fontId="4" fillId="0" borderId="8" xfId="1" applyNumberFormat="1" applyFont="1" applyBorder="1"/>
    <xf numFmtId="165" fontId="1" fillId="0" borderId="0" xfId="2"/>
    <xf numFmtId="171" fontId="1" fillId="0" borderId="0" xfId="1" applyNumberFormat="1"/>
    <xf numFmtId="170" fontId="10" fillId="0" borderId="0" xfId="2" applyNumberFormat="1" applyFont="1" applyFill="1" applyBorder="1"/>
    <xf numFmtId="171" fontId="1" fillId="0" borderId="0" xfId="2" applyNumberFormat="1" applyFont="1"/>
    <xf numFmtId="0" fontId="1" fillId="0" borderId="0" xfId="1" quotePrefix="1"/>
    <xf numFmtId="170" fontId="4" fillId="0" borderId="0" xfId="2" applyNumberFormat="1" applyFont="1" applyFill="1" applyBorder="1"/>
    <xf numFmtId="168" fontId="4" fillId="3" borderId="0" xfId="1" applyNumberFormat="1" applyFont="1" applyFill="1"/>
    <xf numFmtId="168" fontId="4" fillId="3" borderId="12" xfId="1" applyNumberFormat="1" applyFont="1" applyFill="1" applyBorder="1"/>
    <xf numFmtId="168" fontId="4" fillId="0" borderId="0" xfId="1" applyNumberFormat="1" applyFont="1"/>
    <xf numFmtId="172" fontId="11" fillId="0" borderId="0" xfId="1" applyNumberFormat="1" applyFont="1"/>
    <xf numFmtId="172" fontId="4" fillId="0" borderId="8" xfId="4" applyNumberFormat="1" applyFont="1" applyBorder="1"/>
    <xf numFmtId="172" fontId="4" fillId="0" borderId="7" xfId="4" applyNumberFormat="1" applyFont="1" applyBorder="1"/>
    <xf numFmtId="172" fontId="4" fillId="0" borderId="0" xfId="4" applyNumberFormat="1" applyFont="1" applyFill="1" applyBorder="1"/>
    <xf numFmtId="9" fontId="1" fillId="0" borderId="0" xfId="1" applyNumberFormat="1"/>
    <xf numFmtId="0" fontId="13" fillId="0" borderId="0" xfId="1" applyFont="1"/>
    <xf numFmtId="0" fontId="14" fillId="0" borderId="0" xfId="1" applyFont="1"/>
    <xf numFmtId="0" fontId="3" fillId="0" borderId="0" xfId="1" applyFont="1"/>
    <xf numFmtId="0" fontId="15" fillId="0" borderId="0" xfId="1" applyFont="1"/>
    <xf numFmtId="170" fontId="13" fillId="0" borderId="0" xfId="1" applyNumberFormat="1" applyFont="1"/>
    <xf numFmtId="0" fontId="11" fillId="0" borderId="0" xfId="1" applyFont="1"/>
    <xf numFmtId="0" fontId="1" fillId="2" borderId="0" xfId="1" applyFill="1"/>
    <xf numFmtId="165" fontId="4" fillId="0" borderId="0" xfId="2" applyFont="1" applyBorder="1"/>
    <xf numFmtId="0" fontId="2" fillId="2" borderId="0" xfId="1" applyFont="1" applyFill="1"/>
    <xf numFmtId="0" fontId="17" fillId="4" borderId="16" xfId="1" applyFont="1" applyFill="1" applyBorder="1"/>
    <xf numFmtId="0" fontId="18" fillId="4" borderId="16" xfId="1" applyFont="1" applyFill="1" applyBorder="1"/>
    <xf numFmtId="0" fontId="18" fillId="0" borderId="0" xfId="1" applyFont="1"/>
    <xf numFmtId="165" fontId="19" fillId="0" borderId="0" xfId="2" applyFont="1"/>
    <xf numFmtId="0" fontId="18" fillId="0" borderId="4" xfId="1" applyFont="1" applyBorder="1"/>
    <xf numFmtId="165" fontId="19" fillId="0" borderId="5" xfId="2" applyFont="1" applyBorder="1"/>
    <xf numFmtId="0" fontId="18" fillId="0" borderId="6" xfId="1" applyFont="1" applyBorder="1"/>
    <xf numFmtId="0" fontId="20" fillId="4" borderId="17" xfId="1" applyFont="1" applyFill="1" applyBorder="1"/>
    <xf numFmtId="0" fontId="18" fillId="4" borderId="18" xfId="1" applyFont="1" applyFill="1" applyBorder="1"/>
    <xf numFmtId="0" fontId="20" fillId="0" borderId="7" xfId="1" applyFont="1" applyBorder="1"/>
    <xf numFmtId="165" fontId="20" fillId="0" borderId="0" xfId="2" applyFont="1" applyBorder="1"/>
    <xf numFmtId="0" fontId="20" fillId="0" borderId="8" xfId="1" applyFont="1" applyBorder="1"/>
    <xf numFmtId="0" fontId="18" fillId="0" borderId="7" xfId="1" applyFont="1" applyBorder="1"/>
    <xf numFmtId="166" fontId="18" fillId="0" borderId="0" xfId="2" applyNumberFormat="1" applyFont="1" applyBorder="1"/>
    <xf numFmtId="0" fontId="18" fillId="0" borderId="8" xfId="1" applyFont="1" applyBorder="1"/>
    <xf numFmtId="166" fontId="20" fillId="0" borderId="0" xfId="2" applyNumberFormat="1" applyFont="1" applyBorder="1"/>
    <xf numFmtId="166" fontId="20" fillId="4" borderId="16" xfId="2" applyNumberFormat="1" applyFont="1" applyFill="1" applyBorder="1"/>
    <xf numFmtId="0" fontId="18" fillId="0" borderId="9" xfId="1" applyFont="1" applyBorder="1"/>
    <xf numFmtId="0" fontId="18" fillId="0" borderId="1" xfId="1" applyFont="1" applyBorder="1"/>
    <xf numFmtId="0" fontId="20" fillId="0" borderId="10" xfId="1" applyFont="1" applyBorder="1"/>
    <xf numFmtId="165" fontId="18" fillId="0" borderId="6" xfId="2" applyFont="1" applyBorder="1"/>
    <xf numFmtId="167" fontId="18" fillId="0" borderId="8" xfId="2" applyNumberFormat="1" applyFont="1" applyBorder="1"/>
    <xf numFmtId="166" fontId="18" fillId="0" borderId="8" xfId="2" applyNumberFormat="1" applyFont="1" applyBorder="1"/>
    <xf numFmtId="166" fontId="20" fillId="0" borderId="8" xfId="2" applyNumberFormat="1" applyFont="1" applyBorder="1"/>
    <xf numFmtId="166" fontId="18" fillId="0" borderId="8" xfId="1" applyNumberFormat="1" applyFont="1" applyBorder="1"/>
    <xf numFmtId="166" fontId="20" fillId="4" borderId="18" xfId="2" applyNumberFormat="1" applyFont="1" applyFill="1" applyBorder="1"/>
    <xf numFmtId="167" fontId="4" fillId="0" borderId="20" xfId="2" applyNumberFormat="1" applyFont="1" applyBorder="1"/>
    <xf numFmtId="0" fontId="20" fillId="4" borderId="21" xfId="1" applyFont="1" applyFill="1" applyBorder="1" applyAlignment="1">
      <alignment horizontal="center"/>
    </xf>
    <xf numFmtId="0" fontId="20" fillId="4" borderId="22" xfId="1" applyFont="1" applyFill="1" applyBorder="1" applyAlignment="1">
      <alignment horizontal="center"/>
    </xf>
    <xf numFmtId="173" fontId="20" fillId="2" borderId="9" xfId="1" applyNumberFormat="1" applyFont="1" applyFill="1" applyBorder="1" applyAlignment="1">
      <alignment horizontal="center"/>
    </xf>
    <xf numFmtId="9" fontId="20" fillId="2" borderId="10" xfId="5" applyFont="1" applyFill="1" applyBorder="1" applyAlignment="1">
      <alignment horizontal="center"/>
    </xf>
    <xf numFmtId="0" fontId="20" fillId="4" borderId="23" xfId="1" applyFont="1" applyFill="1" applyBorder="1" applyAlignment="1">
      <alignment horizontal="center"/>
    </xf>
    <xf numFmtId="9" fontId="20" fillId="2" borderId="1" xfId="5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20" fillId="0" borderId="10" xfId="1" applyFont="1" applyBorder="1" applyAlignment="1">
      <alignment horizontal="center"/>
    </xf>
    <xf numFmtId="166" fontId="18" fillId="0" borderId="0" xfId="2" applyNumberFormat="1" applyFont="1"/>
    <xf numFmtId="166" fontId="18" fillId="0" borderId="1" xfId="2" applyNumberFormat="1" applyFont="1" applyBorder="1"/>
    <xf numFmtId="174" fontId="18" fillId="0" borderId="0" xfId="1" applyNumberFormat="1" applyFont="1"/>
    <xf numFmtId="0" fontId="20" fillId="0" borderId="4" xfId="1" applyFont="1" applyBorder="1" applyAlignment="1">
      <alignment horizontal="center"/>
    </xf>
    <xf numFmtId="0" fontId="20" fillId="0" borderId="5" xfId="1" applyFont="1" applyBorder="1" applyAlignment="1">
      <alignment horizontal="center"/>
    </xf>
    <xf numFmtId="0" fontId="20" fillId="0" borderId="8" xfId="1" applyFont="1" applyBorder="1" applyAlignment="1">
      <alignment horizontal="center"/>
    </xf>
    <xf numFmtId="0" fontId="20" fillId="4" borderId="16" xfId="1" applyFont="1" applyFill="1" applyBorder="1"/>
    <xf numFmtId="170" fontId="18" fillId="0" borderId="0" xfId="1" applyNumberFormat="1" applyFont="1"/>
    <xf numFmtId="170" fontId="18" fillId="0" borderId="8" xfId="1" applyNumberFormat="1" applyFont="1" applyBorder="1"/>
    <xf numFmtId="168" fontId="18" fillId="0" borderId="0" xfId="1" applyNumberFormat="1" applyFont="1"/>
    <xf numFmtId="168" fontId="18" fillId="0" borderId="8" xfId="1" applyNumberFormat="1" applyFont="1" applyBorder="1"/>
    <xf numFmtId="170" fontId="18" fillId="0" borderId="7" xfId="1" applyNumberFormat="1" applyFont="1" applyBorder="1"/>
    <xf numFmtId="170" fontId="4" fillId="0" borderId="7" xfId="1" applyNumberFormat="1" applyFont="1" applyBorder="1"/>
    <xf numFmtId="169" fontId="20" fillId="0" borderId="0" xfId="1" applyNumberFormat="1" applyFont="1"/>
    <xf numFmtId="169" fontId="20" fillId="0" borderId="8" xfId="1" applyNumberFormat="1" applyFont="1" applyBorder="1"/>
    <xf numFmtId="0" fontId="18" fillId="0" borderId="5" xfId="1" applyFont="1" applyBorder="1"/>
    <xf numFmtId="0" fontId="20" fillId="0" borderId="6" xfId="1" applyFont="1" applyBorder="1" applyAlignment="1">
      <alignment horizontal="center"/>
    </xf>
    <xf numFmtId="0" fontId="20" fillId="0" borderId="9" xfId="1" applyFont="1" applyBorder="1"/>
    <xf numFmtId="168" fontId="20" fillId="0" borderId="1" xfId="1" applyNumberFormat="1" applyFont="1" applyBorder="1"/>
    <xf numFmtId="168" fontId="20" fillId="0" borderId="10" xfId="1" applyNumberFormat="1" applyFont="1" applyBorder="1"/>
    <xf numFmtId="168" fontId="20" fillId="0" borderId="0" xfId="1" applyNumberFormat="1" applyFont="1"/>
    <xf numFmtId="168" fontId="20" fillId="0" borderId="8" xfId="1" applyNumberFormat="1" applyFont="1" applyBorder="1"/>
    <xf numFmtId="0" fontId="18" fillId="0" borderId="19" xfId="1" applyFont="1" applyBorder="1"/>
    <xf numFmtId="0" fontId="18" fillId="0" borderId="20" xfId="1" applyFont="1" applyBorder="1"/>
    <xf numFmtId="0" fontId="18" fillId="0" borderId="24" xfId="1" applyFont="1" applyBorder="1"/>
    <xf numFmtId="0" fontId="20" fillId="0" borderId="4" xfId="1" applyFont="1" applyBorder="1"/>
    <xf numFmtId="0" fontId="21" fillId="0" borderId="13" xfId="1" applyFont="1" applyBorder="1" applyAlignment="1">
      <alignment horizontal="right"/>
    </xf>
    <xf numFmtId="0" fontId="22" fillId="0" borderId="0" xfId="1" applyFont="1"/>
    <xf numFmtId="0" fontId="21" fillId="0" borderId="14" xfId="1" applyFont="1" applyBorder="1"/>
    <xf numFmtId="0" fontId="20" fillId="4" borderId="9" xfId="1" applyFont="1" applyFill="1" applyBorder="1"/>
    <xf numFmtId="166" fontId="20" fillId="4" borderId="1" xfId="2" applyNumberFormat="1" applyFont="1" applyFill="1" applyBorder="1"/>
    <xf numFmtId="166" fontId="20" fillId="4" borderId="15" xfId="2" applyNumberFormat="1" applyFont="1" applyFill="1" applyBorder="1"/>
    <xf numFmtId="0" fontId="18" fillId="0" borderId="13" xfId="1" applyFont="1" applyBorder="1"/>
    <xf numFmtId="0" fontId="20" fillId="0" borderId="14" xfId="1" applyFont="1" applyBorder="1"/>
    <xf numFmtId="44" fontId="18" fillId="0" borderId="0" xfId="6" applyFont="1"/>
    <xf numFmtId="44" fontId="20" fillId="2" borderId="15" xfId="6" applyFont="1" applyFill="1" applyBorder="1"/>
    <xf numFmtId="0" fontId="7" fillId="2" borderId="0" xfId="1" applyFont="1" applyFill="1"/>
    <xf numFmtId="170" fontId="20" fillId="2" borderId="13" xfId="1" applyNumberFormat="1" applyFont="1" applyFill="1" applyBorder="1" applyAlignment="1">
      <alignment horizontal="center"/>
    </xf>
    <xf numFmtId="169" fontId="20" fillId="2" borderId="15" xfId="1" applyNumberFormat="1" applyFont="1" applyFill="1" applyBorder="1" applyAlignment="1">
      <alignment horizontal="center"/>
    </xf>
    <xf numFmtId="172" fontId="18" fillId="0" borderId="7" xfId="4" applyNumberFormat="1" applyFont="1" applyBorder="1"/>
    <xf numFmtId="172" fontId="18" fillId="0" borderId="0" xfId="4" applyNumberFormat="1" applyFont="1"/>
    <xf numFmtId="172" fontId="18" fillId="0" borderId="1" xfId="4" applyNumberFormat="1" applyFont="1" applyBorder="1"/>
    <xf numFmtId="172" fontId="18" fillId="0" borderId="0" xfId="4" applyNumberFormat="1" applyFont="1" applyBorder="1"/>
    <xf numFmtId="172" fontId="18" fillId="0" borderId="8" xfId="4" applyNumberFormat="1" applyFont="1" applyBorder="1"/>
    <xf numFmtId="172" fontId="20" fillId="4" borderId="16" xfId="7" applyNumberFormat="1" applyFont="1" applyFill="1" applyBorder="1"/>
    <xf numFmtId="172" fontId="20" fillId="4" borderId="18" xfId="7" applyNumberFormat="1" applyFont="1" applyFill="1" applyBorder="1"/>
    <xf numFmtId="172" fontId="4" fillId="0" borderId="0" xfId="4" applyNumberFormat="1" applyFont="1"/>
    <xf numFmtId="172" fontId="23" fillId="0" borderId="7" xfId="4" applyNumberFormat="1" applyFont="1" applyBorder="1"/>
    <xf numFmtId="172" fontId="23" fillId="0" borderId="0" xfId="4" applyNumberFormat="1" applyFont="1" applyBorder="1"/>
    <xf numFmtId="172" fontId="23" fillId="0" borderId="8" xfId="4" applyNumberFormat="1" applyFont="1" applyBorder="1"/>
    <xf numFmtId="172" fontId="20" fillId="0" borderId="7" xfId="4" applyNumberFormat="1" applyFont="1" applyBorder="1"/>
    <xf numFmtId="172" fontId="20" fillId="0" borderId="8" xfId="4" applyNumberFormat="1" applyFont="1" applyBorder="1"/>
    <xf numFmtId="172" fontId="20" fillId="0" borderId="0" xfId="4" applyNumberFormat="1" applyFont="1"/>
    <xf numFmtId="172" fontId="24" fillId="0" borderId="0" xfId="4" applyNumberFormat="1" applyFont="1"/>
    <xf numFmtId="172" fontId="18" fillId="0" borderId="24" xfId="4" applyNumberFormat="1" applyFont="1" applyBorder="1"/>
    <xf numFmtId="172" fontId="18" fillId="0" borderId="19" xfId="4" applyNumberFormat="1" applyFont="1" applyBorder="1"/>
    <xf numFmtId="172" fontId="18" fillId="0" borderId="25" xfId="4" applyNumberFormat="1" applyFont="1" applyBorder="1"/>
    <xf numFmtId="172" fontId="18" fillId="0" borderId="3" xfId="4" applyNumberFormat="1" applyFont="1" applyBorder="1"/>
    <xf numFmtId="172" fontId="20" fillId="0" borderId="4" xfId="4" applyNumberFormat="1" applyFont="1" applyBorder="1"/>
    <xf numFmtId="172" fontId="18" fillId="0" borderId="5" xfId="4" applyNumberFormat="1" applyFont="1" applyBorder="1"/>
    <xf numFmtId="172" fontId="25" fillId="0" borderId="7" xfId="4" applyNumberFormat="1" applyFont="1" applyBorder="1"/>
    <xf numFmtId="172" fontId="26" fillId="0" borderId="0" xfId="4" applyNumberFormat="1" applyFont="1" applyBorder="1"/>
    <xf numFmtId="172" fontId="26" fillId="0" borderId="8" xfId="4" applyNumberFormat="1" applyFont="1" applyBorder="1"/>
    <xf numFmtId="172" fontId="25" fillId="4" borderId="9" xfId="4" applyNumberFormat="1" applyFont="1" applyFill="1" applyBorder="1"/>
    <xf numFmtId="172" fontId="20" fillId="4" borderId="1" xfId="7" applyNumberFormat="1" applyFont="1" applyFill="1" applyBorder="1"/>
    <xf numFmtId="172" fontId="20" fillId="4" borderId="10" xfId="7" applyNumberFormat="1" applyFont="1" applyFill="1" applyBorder="1"/>
    <xf numFmtId="172" fontId="18" fillId="0" borderId="6" xfId="4" applyNumberFormat="1" applyFont="1" applyBorder="1"/>
    <xf numFmtId="172" fontId="26" fillId="0" borderId="0" xfId="4" applyNumberFormat="1" applyFont="1"/>
    <xf numFmtId="0" fontId="20" fillId="4" borderId="21" xfId="1" applyFont="1" applyFill="1" applyBorder="1"/>
    <xf numFmtId="0" fontId="20" fillId="4" borderId="22" xfId="1" applyFont="1" applyFill="1" applyBorder="1"/>
    <xf numFmtId="0" fontId="18" fillId="0" borderId="11" xfId="1" applyFont="1" applyBorder="1"/>
    <xf numFmtId="168" fontId="18" fillId="0" borderId="11" xfId="1" applyNumberFormat="1" applyFont="1" applyBorder="1"/>
    <xf numFmtId="0" fontId="18" fillId="0" borderId="2" xfId="1" applyFont="1" applyBorder="1"/>
    <xf numFmtId="9" fontId="18" fillId="0" borderId="11" xfId="2" applyNumberFormat="1" applyFont="1" applyBorder="1"/>
    <xf numFmtId="0" fontId="4" fillId="0" borderId="24" xfId="1" applyFont="1" applyBorder="1"/>
    <xf numFmtId="0" fontId="20" fillId="0" borderId="0" xfId="1" applyFont="1" applyAlignment="1">
      <alignment horizontal="center"/>
    </xf>
  </cellXfs>
  <cellStyles count="8">
    <cellStyle name="Komma" xfId="7" builtinId="3"/>
    <cellStyle name="Komma 2" xfId="4" xr:uid="{00000000-0005-0000-0000-000000000000}"/>
    <cellStyle name="Normaal 2" xfId="1" xr:uid="{00000000-0005-0000-0000-000001000000}"/>
    <cellStyle name="Procent" xfId="5" builtinId="5"/>
    <cellStyle name="Procent 2" xfId="3" xr:uid="{00000000-0005-0000-0000-000003000000}"/>
    <cellStyle name="Standaard" xfId="0" builtinId="0"/>
    <cellStyle name="Valuta" xfId="6" builtinId="4"/>
    <cellStyle name="Valuta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HOME\exceldat\BINNEN\Voortgangscontrole\2013\Voortgangsstatus%20per%20klant%20Binnenwaard%20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ning"/>
      <sheetName val="Menukeuze's"/>
    </sheetNames>
    <sheetDataSet>
      <sheetData sheetId="0"/>
      <sheetData sheetId="1">
        <row r="8">
          <cell r="A8" t="str">
            <v>Gereed</v>
          </cell>
        </row>
        <row r="9">
          <cell r="A9" t="str">
            <v>Bij cliënt</v>
          </cell>
        </row>
        <row r="10">
          <cell r="A10" t="str">
            <v>Onderhanden</v>
          </cell>
        </row>
        <row r="11">
          <cell r="A11" t="str">
            <v>Niet gereed</v>
          </cell>
        </row>
        <row r="12">
          <cell r="A12" t="str">
            <v>N.v.t.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zoomScale="110" zoomScaleNormal="110" zoomScalePageLayoutView="90" workbookViewId="0">
      <selection activeCell="J29" sqref="J29"/>
    </sheetView>
  </sheetViews>
  <sheetFormatPr defaultColWidth="10.140625" defaultRowHeight="12.75" x14ac:dyDescent="0.2"/>
  <cols>
    <col min="1" max="1" width="40.28515625" style="1" bestFit="1" customWidth="1"/>
    <col min="2" max="2" width="24.42578125" style="1" customWidth="1"/>
    <col min="3" max="3" width="29.85546875" style="1" bestFit="1" customWidth="1"/>
    <col min="4" max="4" width="8" style="1" customWidth="1"/>
    <col min="5" max="16384" width="10.140625" style="1"/>
  </cols>
  <sheetData>
    <row r="1" spans="1:9" ht="36.75" customHeight="1" x14ac:dyDescent="0.55000000000000004">
      <c r="A1" s="43" t="s">
        <v>3</v>
      </c>
      <c r="B1" s="44"/>
      <c r="C1" s="44"/>
    </row>
    <row r="2" spans="1:9" ht="21" customHeight="1" x14ac:dyDescent="0.35">
      <c r="A2" s="45"/>
      <c r="B2" s="46"/>
      <c r="C2" s="45"/>
    </row>
    <row r="3" spans="1:9" ht="15.75" customHeight="1" x14ac:dyDescent="0.35">
      <c r="A3" s="47"/>
      <c r="B3" s="48"/>
      <c r="C3" s="49"/>
      <c r="E3" s="3"/>
      <c r="F3" s="3"/>
      <c r="G3" s="3"/>
      <c r="H3" s="3"/>
      <c r="I3" s="3"/>
    </row>
    <row r="4" spans="1:9" ht="15.75" customHeight="1" x14ac:dyDescent="0.35">
      <c r="A4" s="50" t="s">
        <v>4</v>
      </c>
      <c r="B4" s="44"/>
      <c r="C4" s="51"/>
      <c r="E4" s="3"/>
      <c r="F4" s="3"/>
      <c r="G4" s="3"/>
      <c r="H4" s="3"/>
      <c r="I4" s="3"/>
    </row>
    <row r="5" spans="1:9" ht="15.75" customHeight="1" x14ac:dyDescent="0.35">
      <c r="A5" s="52"/>
      <c r="B5" s="53"/>
      <c r="C5" s="54"/>
      <c r="E5" s="3"/>
      <c r="F5" s="3"/>
      <c r="G5" s="3"/>
      <c r="H5" s="3"/>
      <c r="I5" s="3"/>
    </row>
    <row r="6" spans="1:9" ht="15.75" customHeight="1" x14ac:dyDescent="0.35">
      <c r="A6" s="55"/>
      <c r="B6" s="53" t="s">
        <v>5</v>
      </c>
      <c r="C6" s="54" t="s">
        <v>81</v>
      </c>
      <c r="E6" s="3"/>
      <c r="F6" s="3"/>
      <c r="G6" s="3"/>
      <c r="H6" s="3"/>
      <c r="I6" s="3"/>
    </row>
    <row r="7" spans="1:9" ht="15.75" customHeight="1" x14ac:dyDescent="0.35">
      <c r="A7" s="55" t="s">
        <v>93</v>
      </c>
      <c r="B7" s="56">
        <v>25000</v>
      </c>
      <c r="C7" s="57">
        <v>5</v>
      </c>
      <c r="E7" s="3"/>
      <c r="F7" s="3"/>
      <c r="G7" s="3"/>
      <c r="H7" s="3"/>
      <c r="I7" s="3"/>
    </row>
    <row r="8" spans="1:9" ht="15.75" customHeight="1" x14ac:dyDescent="0.35">
      <c r="A8" s="55" t="s">
        <v>103</v>
      </c>
      <c r="B8" s="56">
        <v>20000</v>
      </c>
      <c r="C8" s="57">
        <v>5</v>
      </c>
      <c r="E8" s="3"/>
      <c r="F8" s="3"/>
      <c r="G8" s="3"/>
      <c r="H8" s="3"/>
      <c r="I8" s="3"/>
    </row>
    <row r="9" spans="1:9" ht="15.75" customHeight="1" x14ac:dyDescent="0.35">
      <c r="A9" s="55" t="s">
        <v>107</v>
      </c>
      <c r="B9" s="56">
        <v>5000</v>
      </c>
      <c r="C9" s="57">
        <v>5</v>
      </c>
      <c r="E9" s="3"/>
      <c r="F9" s="3"/>
      <c r="G9" s="3"/>
      <c r="H9" s="3"/>
      <c r="I9" s="3"/>
    </row>
    <row r="10" spans="1:9" ht="15.75" customHeight="1" x14ac:dyDescent="0.35">
      <c r="A10" s="55" t="s">
        <v>106</v>
      </c>
      <c r="B10" s="56">
        <v>3000</v>
      </c>
      <c r="C10" s="57">
        <v>5</v>
      </c>
      <c r="E10" s="3"/>
      <c r="F10" s="3"/>
      <c r="G10" s="3"/>
      <c r="H10" s="3"/>
      <c r="I10" s="3"/>
    </row>
    <row r="11" spans="1:9" ht="15.75" customHeight="1" x14ac:dyDescent="0.35">
      <c r="A11" s="55" t="s">
        <v>6</v>
      </c>
      <c r="B11" s="56">
        <v>1000</v>
      </c>
      <c r="C11" s="57">
        <v>5</v>
      </c>
      <c r="E11" s="3"/>
      <c r="F11" s="3"/>
      <c r="G11" s="3"/>
      <c r="H11" s="3"/>
      <c r="I11" s="3"/>
    </row>
    <row r="12" spans="1:9" ht="15.75" customHeight="1" x14ac:dyDescent="0.25">
      <c r="A12" s="4"/>
      <c r="B12" s="5"/>
      <c r="C12" s="6"/>
      <c r="E12" s="3"/>
      <c r="F12" s="3"/>
      <c r="G12" s="3"/>
      <c r="H12" s="3"/>
      <c r="I12" s="3"/>
    </row>
    <row r="13" spans="1:9" ht="15.75" customHeight="1" x14ac:dyDescent="0.35">
      <c r="A13" s="52" t="s">
        <v>7</v>
      </c>
      <c r="B13" s="58">
        <f>SUM(B7:B12)</f>
        <v>54000</v>
      </c>
      <c r="C13" s="57"/>
      <c r="E13" s="3"/>
      <c r="F13" s="3"/>
      <c r="G13" s="3"/>
      <c r="H13" s="3"/>
      <c r="I13" s="3"/>
    </row>
    <row r="14" spans="1:9" ht="15.75" customHeight="1" x14ac:dyDescent="0.35">
      <c r="A14" s="55"/>
      <c r="B14" s="58"/>
      <c r="C14" s="57"/>
      <c r="E14" s="3"/>
      <c r="F14" s="3"/>
      <c r="G14" s="3"/>
      <c r="H14" s="3"/>
      <c r="I14" s="3"/>
    </row>
    <row r="15" spans="1:9" ht="15.75" customHeight="1" x14ac:dyDescent="0.35">
      <c r="A15" s="50" t="s">
        <v>8</v>
      </c>
      <c r="B15" s="44"/>
      <c r="C15" s="51"/>
      <c r="E15" s="3"/>
      <c r="F15" s="3"/>
      <c r="G15" s="3"/>
      <c r="H15" s="3"/>
      <c r="I15" s="3"/>
    </row>
    <row r="16" spans="1:9" ht="15.75" customHeight="1" x14ac:dyDescent="0.35">
      <c r="A16" s="52"/>
      <c r="B16" s="58"/>
      <c r="C16" s="57"/>
      <c r="E16" s="3"/>
      <c r="F16" s="3"/>
      <c r="G16" s="3"/>
      <c r="H16" s="3"/>
      <c r="I16" s="3"/>
    </row>
    <row r="17" spans="1:9" ht="15.75" customHeight="1" x14ac:dyDescent="0.35">
      <c r="A17" s="55"/>
      <c r="B17" s="58" t="s">
        <v>5</v>
      </c>
      <c r="C17" s="57"/>
      <c r="E17" s="3"/>
      <c r="F17" s="3"/>
      <c r="G17" s="3"/>
      <c r="H17" s="3"/>
      <c r="I17" s="3"/>
    </row>
    <row r="18" spans="1:9" ht="15.75" customHeight="1" x14ac:dyDescent="0.35">
      <c r="A18" s="55" t="s">
        <v>9</v>
      </c>
      <c r="B18" s="56">
        <v>30000</v>
      </c>
      <c r="C18" s="57"/>
      <c r="E18" s="3"/>
      <c r="F18" s="3"/>
      <c r="G18" s="3"/>
      <c r="H18" s="3"/>
      <c r="I18" s="3"/>
    </row>
    <row r="19" spans="1:9" ht="15.75" customHeight="1" x14ac:dyDescent="0.35">
      <c r="A19" s="55" t="s">
        <v>11</v>
      </c>
      <c r="B19" s="56">
        <f>0.21*(B13+B18+B20+B21)</f>
        <v>19950</v>
      </c>
      <c r="C19" s="57"/>
      <c r="E19" s="3"/>
      <c r="F19" s="3"/>
      <c r="G19" s="3"/>
      <c r="H19" s="3"/>
      <c r="I19" s="3"/>
    </row>
    <row r="20" spans="1:9" ht="15.75" customHeight="1" x14ac:dyDescent="0.35">
      <c r="A20" s="55" t="s">
        <v>89</v>
      </c>
      <c r="B20" s="56">
        <f>3*2000</f>
        <v>6000</v>
      </c>
      <c r="C20" s="57"/>
      <c r="E20" s="3"/>
      <c r="F20" s="3"/>
      <c r="G20" s="3"/>
      <c r="H20" s="3"/>
      <c r="I20" s="3"/>
    </row>
    <row r="21" spans="1:9" ht="15.75" customHeight="1" x14ac:dyDescent="0.35">
      <c r="A21" s="55" t="s">
        <v>10</v>
      </c>
      <c r="B21" s="56">
        <v>5000</v>
      </c>
      <c r="C21" s="57"/>
      <c r="E21" s="3"/>
      <c r="F21" s="3"/>
      <c r="G21" s="3"/>
      <c r="H21" s="3"/>
      <c r="I21" s="3"/>
    </row>
    <row r="22" spans="1:9" ht="15.75" customHeight="1" x14ac:dyDescent="0.35">
      <c r="A22" s="55" t="s">
        <v>12</v>
      </c>
      <c r="B22" s="56">
        <v>20050</v>
      </c>
      <c r="C22" s="6"/>
      <c r="E22" s="3"/>
      <c r="F22" s="3"/>
      <c r="G22" s="3"/>
      <c r="H22" s="3"/>
      <c r="I22" s="3"/>
    </row>
    <row r="23" spans="1:9" ht="15.75" customHeight="1" x14ac:dyDescent="0.25">
      <c r="A23" s="4"/>
      <c r="B23" s="5"/>
      <c r="C23" s="6"/>
      <c r="E23" s="3"/>
      <c r="F23" s="3"/>
      <c r="G23" s="3"/>
      <c r="H23" s="3"/>
      <c r="I23" s="3"/>
    </row>
    <row r="24" spans="1:9" ht="15.75" customHeight="1" x14ac:dyDescent="0.35">
      <c r="A24" s="52" t="s">
        <v>13</v>
      </c>
      <c r="B24" s="58">
        <f>SUM(B18:B23)</f>
        <v>81000</v>
      </c>
      <c r="C24" s="57"/>
      <c r="E24" s="3"/>
      <c r="F24" s="3"/>
      <c r="G24" s="3"/>
      <c r="H24" s="3"/>
      <c r="I24" s="3"/>
    </row>
    <row r="25" spans="1:9" ht="15.75" customHeight="1" x14ac:dyDescent="0.35">
      <c r="A25" s="55"/>
      <c r="B25" s="56"/>
      <c r="C25" s="54"/>
      <c r="E25" s="3"/>
      <c r="F25" s="3"/>
      <c r="G25" s="3"/>
      <c r="H25" s="3"/>
      <c r="I25" s="3"/>
    </row>
    <row r="26" spans="1:9" ht="15.75" customHeight="1" x14ac:dyDescent="0.35">
      <c r="A26" s="50" t="s">
        <v>14</v>
      </c>
      <c r="B26" s="59">
        <f>B13+B24</f>
        <v>135000</v>
      </c>
      <c r="C26" s="51"/>
      <c r="E26" s="3"/>
      <c r="F26" s="3"/>
      <c r="G26" s="3"/>
      <c r="H26" s="3"/>
      <c r="I26" s="3"/>
    </row>
    <row r="27" spans="1:9" ht="15.75" customHeight="1" x14ac:dyDescent="0.35">
      <c r="A27" s="60"/>
      <c r="B27" s="61"/>
      <c r="C27" s="62"/>
      <c r="E27" s="3"/>
      <c r="F27" s="3"/>
      <c r="G27" s="3"/>
      <c r="H27" s="3"/>
      <c r="I27" s="3"/>
    </row>
    <row r="28" spans="1:9" ht="15" x14ac:dyDescent="0.25">
      <c r="E28" s="3"/>
      <c r="F28" s="3"/>
      <c r="G28" s="3"/>
      <c r="H28" s="3"/>
      <c r="I28" s="3"/>
    </row>
    <row r="29" spans="1:9" ht="15" x14ac:dyDescent="0.25">
      <c r="C29" s="8"/>
      <c r="E29" s="3"/>
      <c r="F29" s="3"/>
      <c r="G29" s="3"/>
      <c r="H29" s="3"/>
      <c r="I29" s="3"/>
    </row>
    <row r="30" spans="1:9" ht="15" x14ac:dyDescent="0.25">
      <c r="C30" s="8"/>
      <c r="E30" s="3"/>
      <c r="F30" s="3"/>
      <c r="G30" s="3"/>
      <c r="H30" s="3"/>
      <c r="I30" s="3"/>
    </row>
    <row r="40" spans="1:3" ht="15" x14ac:dyDescent="0.25">
      <c r="B40" s="9"/>
    </row>
    <row r="41" spans="1:3" ht="15" x14ac:dyDescent="0.25">
      <c r="B41" s="10"/>
    </row>
    <row r="42" spans="1:3" ht="15" hidden="1" x14ac:dyDescent="0.25">
      <c r="B42" s="10">
        <f>SUM(B18:B39)</f>
        <v>297000</v>
      </c>
    </row>
    <row r="43" spans="1:3" ht="15" x14ac:dyDescent="0.25">
      <c r="C43" s="11"/>
    </row>
    <row r="44" spans="1:3" ht="15" x14ac:dyDescent="0.25">
      <c r="A44" s="11"/>
      <c r="B44" s="12"/>
      <c r="C44" s="11"/>
    </row>
    <row r="45" spans="1:3" ht="15" x14ac:dyDescent="0.25">
      <c r="A45" s="11"/>
      <c r="B45" s="12"/>
      <c r="C45" s="11"/>
    </row>
    <row r="46" spans="1:3" ht="15" x14ac:dyDescent="0.25">
      <c r="B46" s="10"/>
    </row>
    <row r="47" spans="1:3" ht="15" x14ac:dyDescent="0.25">
      <c r="A47" s="8"/>
      <c r="B47" s="13"/>
    </row>
    <row r="48" spans="1:3" ht="15" x14ac:dyDescent="0.25">
      <c r="A48" s="8"/>
      <c r="B48" s="9"/>
    </row>
    <row r="49" spans="1:3" ht="15" x14ac:dyDescent="0.25">
      <c r="A49" s="8"/>
      <c r="B49" s="9"/>
    </row>
    <row r="50" spans="1:3" ht="12" customHeight="1" x14ac:dyDescent="0.25">
      <c r="B50" s="10"/>
    </row>
    <row r="51" spans="1:3" ht="14.25" hidden="1" customHeight="1" x14ac:dyDescent="0.25">
      <c r="B51" s="10" t="e">
        <f>#REF!+B42+B47</f>
        <v>#REF!</v>
      </c>
    </row>
    <row r="52" spans="1:3" ht="15" x14ac:dyDescent="0.25">
      <c r="C52" s="11"/>
    </row>
    <row r="53" spans="1:3" ht="15" x14ac:dyDescent="0.25">
      <c r="B53" s="2"/>
    </row>
    <row r="54" spans="1:3" ht="15" x14ac:dyDescent="0.25">
      <c r="B54" s="2"/>
    </row>
    <row r="55" spans="1:3" ht="15" x14ac:dyDescent="0.25">
      <c r="B55" s="2"/>
    </row>
    <row r="56" spans="1:3" ht="15" x14ac:dyDescent="0.25">
      <c r="B56" s="2"/>
    </row>
    <row r="57" spans="1:3" ht="15" x14ac:dyDescent="0.25">
      <c r="B57" s="2"/>
    </row>
    <row r="58" spans="1:3" ht="15" x14ac:dyDescent="0.25">
      <c r="B58" s="2"/>
    </row>
    <row r="59" spans="1:3" ht="15" x14ac:dyDescent="0.25">
      <c r="B59" s="2"/>
    </row>
    <row r="60" spans="1:3" ht="15" x14ac:dyDescent="0.25">
      <c r="B60" s="2"/>
    </row>
    <row r="61" spans="1:3" ht="15" x14ac:dyDescent="0.25">
      <c r="B61" s="2"/>
    </row>
  </sheetData>
  <pageMargins left="0.75" right="0.75" top="1" bottom="1" header="0.5" footer="0.5"/>
  <pageSetup paperSize="9" scale="85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94"/>
  <sheetViews>
    <sheetView zoomScale="110" zoomScaleNormal="110" zoomScalePageLayoutView="90" workbookViewId="0">
      <selection activeCell="F33" sqref="F33"/>
    </sheetView>
  </sheetViews>
  <sheetFormatPr defaultColWidth="10.140625" defaultRowHeight="15" x14ac:dyDescent="0.25"/>
  <cols>
    <col min="1" max="1" width="51.42578125" style="1" customWidth="1"/>
    <col min="2" max="2" width="21.28515625" style="2" customWidth="1"/>
    <col min="3" max="3" width="10.140625" style="1"/>
    <col min="4" max="6" width="15.7109375" style="1" customWidth="1"/>
    <col min="7" max="7" width="17.42578125" style="1" bestFit="1" customWidth="1"/>
    <col min="8" max="16384" width="10.140625" style="1"/>
  </cols>
  <sheetData>
    <row r="1" spans="1:5" ht="40.5" customHeight="1" x14ac:dyDescent="0.55000000000000004">
      <c r="A1" s="43" t="s">
        <v>22</v>
      </c>
      <c r="B1" s="43"/>
      <c r="C1" s="18"/>
    </row>
    <row r="2" spans="1:5" ht="17.25" customHeight="1" x14ac:dyDescent="0.35">
      <c r="A2" s="45"/>
      <c r="B2" s="45"/>
      <c r="C2" s="18"/>
    </row>
    <row r="3" spans="1:5" ht="15.75" customHeight="1" x14ac:dyDescent="0.35">
      <c r="A3" s="47"/>
      <c r="B3" s="63"/>
      <c r="C3" s="18"/>
    </row>
    <row r="4" spans="1:5" ht="15.75" customHeight="1" x14ac:dyDescent="0.35">
      <c r="A4" s="50" t="s">
        <v>21</v>
      </c>
      <c r="B4" s="51"/>
      <c r="C4" s="18"/>
    </row>
    <row r="5" spans="1:5" ht="15.75" customHeight="1" x14ac:dyDescent="0.35">
      <c r="A5" s="55"/>
      <c r="B5" s="64"/>
      <c r="C5" s="18"/>
    </row>
    <row r="6" spans="1:5" ht="15.75" customHeight="1" x14ac:dyDescent="0.35">
      <c r="A6" s="55" t="s">
        <v>95</v>
      </c>
      <c r="B6" s="65">
        <v>30000</v>
      </c>
      <c r="C6" s="18"/>
    </row>
    <row r="7" spans="1:5" ht="15.75" customHeight="1" x14ac:dyDescent="0.35">
      <c r="A7" s="55" t="s">
        <v>96</v>
      </c>
      <c r="B7" s="65">
        <v>0</v>
      </c>
      <c r="C7" s="18"/>
    </row>
    <row r="8" spans="1:5" ht="15.75" customHeight="1" x14ac:dyDescent="0.35">
      <c r="A8" s="55" t="s">
        <v>97</v>
      </c>
      <c r="B8" s="65">
        <v>0</v>
      </c>
      <c r="C8" s="18"/>
    </row>
    <row r="9" spans="1:5" ht="15.75" customHeight="1" x14ac:dyDescent="0.35">
      <c r="A9" s="55"/>
      <c r="B9" s="65"/>
      <c r="C9" s="18"/>
    </row>
    <row r="10" spans="1:5" ht="15.75" customHeight="1" x14ac:dyDescent="0.35">
      <c r="A10" s="52" t="s">
        <v>20</v>
      </c>
      <c r="B10" s="66">
        <f>SUM(B5:B9)</f>
        <v>30000</v>
      </c>
      <c r="C10" s="18"/>
    </row>
    <row r="11" spans="1:5" ht="15.75" customHeight="1" x14ac:dyDescent="0.35">
      <c r="A11" s="55"/>
      <c r="B11" s="65"/>
      <c r="C11" s="18"/>
    </row>
    <row r="12" spans="1:5" ht="15.75" customHeight="1" x14ac:dyDescent="0.35">
      <c r="A12" s="50" t="s">
        <v>19</v>
      </c>
      <c r="B12" s="51"/>
      <c r="C12" s="18"/>
    </row>
    <row r="13" spans="1:5" ht="15.75" customHeight="1" x14ac:dyDescent="0.35">
      <c r="A13" s="55"/>
      <c r="B13" s="65"/>
      <c r="C13" s="18"/>
      <c r="D13" s="70" t="s">
        <v>82</v>
      </c>
      <c r="E13" s="71" t="s">
        <v>99</v>
      </c>
    </row>
    <row r="14" spans="1:5" ht="15.75" customHeight="1" x14ac:dyDescent="0.35">
      <c r="A14" s="55" t="s">
        <v>98</v>
      </c>
      <c r="B14" s="65">
        <f>D14</f>
        <v>30000</v>
      </c>
      <c r="C14" s="18"/>
      <c r="D14" s="72">
        <v>30000</v>
      </c>
      <c r="E14" s="73">
        <v>0.08</v>
      </c>
    </row>
    <row r="15" spans="1:5" ht="15.75" customHeight="1" x14ac:dyDescent="0.35">
      <c r="A15" s="55"/>
      <c r="B15" s="67"/>
      <c r="C15" s="18"/>
    </row>
    <row r="16" spans="1:5" ht="15.75" customHeight="1" x14ac:dyDescent="0.35">
      <c r="A16" s="52" t="s">
        <v>18</v>
      </c>
      <c r="B16" s="66">
        <f>SUM(B13:B15)</f>
        <v>30000</v>
      </c>
      <c r="C16" s="18"/>
    </row>
    <row r="17" spans="1:7" ht="15.75" customHeight="1" x14ac:dyDescent="0.35">
      <c r="A17" s="52"/>
      <c r="B17" s="65"/>
      <c r="C17" s="18"/>
    </row>
    <row r="18" spans="1:7" ht="15.75" customHeight="1" x14ac:dyDescent="0.35">
      <c r="A18" s="50" t="s">
        <v>17</v>
      </c>
      <c r="B18" s="51"/>
      <c r="C18" s="18"/>
    </row>
    <row r="19" spans="1:7" ht="15.75" customHeight="1" x14ac:dyDescent="0.35">
      <c r="A19" s="55"/>
      <c r="B19" s="65"/>
      <c r="C19" s="18"/>
      <c r="D19" s="70" t="s">
        <v>82</v>
      </c>
      <c r="E19" s="74" t="s">
        <v>99</v>
      </c>
      <c r="F19" s="74" t="s">
        <v>83</v>
      </c>
      <c r="G19" s="71" t="s">
        <v>84</v>
      </c>
    </row>
    <row r="20" spans="1:7" ht="15.75" customHeight="1" x14ac:dyDescent="0.35">
      <c r="A20" s="55" t="s">
        <v>100</v>
      </c>
      <c r="B20" s="65">
        <f>D20</f>
        <v>75000</v>
      </c>
      <c r="C20" s="18"/>
      <c r="D20" s="72">
        <v>75000</v>
      </c>
      <c r="E20" s="75">
        <v>7.0000000000000007E-2</v>
      </c>
      <c r="F20" s="76">
        <v>5</v>
      </c>
      <c r="G20" s="77">
        <f>F20*4</f>
        <v>20</v>
      </c>
    </row>
    <row r="21" spans="1:7" ht="15.75" customHeight="1" x14ac:dyDescent="0.35">
      <c r="A21" s="55"/>
      <c r="B21" s="67"/>
      <c r="C21" s="18"/>
    </row>
    <row r="22" spans="1:7" ht="15.75" customHeight="1" x14ac:dyDescent="0.35">
      <c r="A22" s="52" t="s">
        <v>16</v>
      </c>
      <c r="B22" s="66">
        <f>SUM(B19:B21)</f>
        <v>75000</v>
      </c>
      <c r="C22" s="18"/>
    </row>
    <row r="23" spans="1:7" ht="15.75" customHeight="1" x14ac:dyDescent="0.35">
      <c r="A23" s="55"/>
      <c r="B23" s="65"/>
      <c r="C23" s="18"/>
    </row>
    <row r="24" spans="1:7" ht="18" x14ac:dyDescent="0.35">
      <c r="A24" s="50" t="s">
        <v>15</v>
      </c>
      <c r="B24" s="68">
        <f>B10+B16+B22</f>
        <v>135000</v>
      </c>
      <c r="C24" s="18"/>
    </row>
    <row r="25" spans="1:7" x14ac:dyDescent="0.25">
      <c r="A25" s="152"/>
      <c r="B25" s="69"/>
      <c r="C25" s="18"/>
    </row>
    <row r="26" spans="1:7" x14ac:dyDescent="0.25">
      <c r="A26" s="3"/>
      <c r="B26" s="16"/>
      <c r="C26" s="18"/>
    </row>
    <row r="27" spans="1:7" x14ac:dyDescent="0.25">
      <c r="A27" s="7"/>
      <c r="B27" s="17"/>
    </row>
    <row r="28" spans="1:7" x14ac:dyDescent="0.25">
      <c r="A28" s="3"/>
      <c r="B28" s="16"/>
    </row>
    <row r="29" spans="1:7" ht="14.25" x14ac:dyDescent="0.2">
      <c r="A29" s="14"/>
      <c r="B29" s="15"/>
    </row>
    <row r="30" spans="1:7" x14ac:dyDescent="0.25">
      <c r="B30" s="41"/>
    </row>
    <row r="1194" spans="2:2" x14ac:dyDescent="0.25">
      <c r="B1194" s="10"/>
    </row>
  </sheetData>
  <pageMargins left="0.75" right="0.75" top="1" bottom="1" header="0.5" footer="0.5"/>
  <pageSetup paperSize="9" scale="8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10"/>
  <sheetViews>
    <sheetView zoomScale="110" zoomScaleNormal="110" zoomScalePageLayoutView="80" workbookViewId="0">
      <selection activeCell="L34" sqref="L34"/>
    </sheetView>
  </sheetViews>
  <sheetFormatPr defaultColWidth="10.140625" defaultRowHeight="18" x14ac:dyDescent="0.35"/>
  <cols>
    <col min="1" max="1" width="41" style="1" bestFit="1" customWidth="1"/>
    <col min="2" max="4" width="14.7109375" style="1" customWidth="1"/>
    <col min="5" max="5" width="9.140625" style="1" customWidth="1"/>
    <col min="6" max="6" width="4.42578125" style="1" customWidth="1"/>
    <col min="7" max="7" width="18.85546875" style="1" customWidth="1"/>
    <col min="8" max="8" width="12" style="1" bestFit="1" customWidth="1"/>
    <col min="9" max="19" width="12" style="1" customWidth="1"/>
    <col min="20" max="20" width="12.7109375" style="1" bestFit="1" customWidth="1"/>
    <col min="21" max="21" width="10.140625" style="45"/>
    <col min="22" max="22" width="15.85546875" style="45" bestFit="1" customWidth="1"/>
    <col min="23" max="23" width="13.5703125" style="1" bestFit="1" customWidth="1"/>
    <col min="24" max="34" width="10.140625" style="1"/>
    <col min="35" max="35" width="11.5703125" style="1" bestFit="1" customWidth="1"/>
    <col min="36" max="36" width="9.85546875" style="1" bestFit="1" customWidth="1"/>
    <col min="37" max="37" width="10.140625" style="1"/>
    <col min="38" max="38" width="15.85546875" style="1" bestFit="1" customWidth="1"/>
    <col min="39" max="39" width="13.5703125" style="1" bestFit="1" customWidth="1"/>
    <col min="40" max="16384" width="10.140625" style="1"/>
  </cols>
  <sheetData>
    <row r="1" spans="1:22" ht="32.25" x14ac:dyDescent="0.55000000000000004">
      <c r="A1" s="43" t="s">
        <v>56</v>
      </c>
      <c r="B1" s="43"/>
      <c r="C1" s="43"/>
      <c r="D1" s="43"/>
    </row>
    <row r="2" spans="1:22" s="45" customFormat="1" ht="15.75" customHeight="1" x14ac:dyDescent="0.35">
      <c r="A2" s="55"/>
      <c r="B2" s="78"/>
      <c r="C2" s="78"/>
      <c r="D2" s="79"/>
    </row>
    <row r="3" spans="1:22" ht="15.75" customHeight="1" x14ac:dyDescent="0.35">
      <c r="A3" s="81"/>
      <c r="B3" s="82" t="s">
        <v>0</v>
      </c>
      <c r="C3" s="82" t="s">
        <v>1</v>
      </c>
      <c r="D3" s="94" t="s">
        <v>2</v>
      </c>
      <c r="G3" s="114" t="s">
        <v>88</v>
      </c>
    </row>
    <row r="4" spans="1:22" ht="15.75" customHeight="1" x14ac:dyDescent="0.35">
      <c r="A4" s="50" t="s">
        <v>38</v>
      </c>
      <c r="B4" s="84"/>
      <c r="C4" s="84"/>
      <c r="D4" s="51"/>
      <c r="G4" s="103" t="s">
        <v>0</v>
      </c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04" t="s">
        <v>85</v>
      </c>
      <c r="V4" s="110"/>
    </row>
    <row r="5" spans="1:22" ht="15.75" customHeight="1" x14ac:dyDescent="0.35">
      <c r="A5" s="55"/>
      <c r="B5" s="85"/>
      <c r="C5" s="85"/>
      <c r="D5" s="86"/>
      <c r="G5" s="89" t="s">
        <v>86</v>
      </c>
      <c r="H5" s="105">
        <v>1</v>
      </c>
      <c r="I5" s="105">
        <v>2</v>
      </c>
      <c r="J5" s="105">
        <v>3</v>
      </c>
      <c r="K5" s="105">
        <v>4</v>
      </c>
      <c r="L5" s="105">
        <v>5</v>
      </c>
      <c r="M5" s="105">
        <v>6</v>
      </c>
      <c r="N5" s="105">
        <v>7</v>
      </c>
      <c r="O5" s="105">
        <v>8</v>
      </c>
      <c r="P5" s="105">
        <v>9</v>
      </c>
      <c r="Q5" s="105">
        <v>10</v>
      </c>
      <c r="R5" s="105">
        <v>11</v>
      </c>
      <c r="S5" s="105">
        <v>12</v>
      </c>
      <c r="T5" s="106"/>
      <c r="V5" s="111" t="s">
        <v>94</v>
      </c>
    </row>
    <row r="6" spans="1:22" ht="15.75" customHeight="1" x14ac:dyDescent="0.35">
      <c r="A6" s="55" t="str">
        <f>G3</f>
        <v>Omzet</v>
      </c>
      <c r="B6" s="56">
        <f>T7</f>
        <v>298760.3305785124</v>
      </c>
      <c r="C6" s="56">
        <f>T13</f>
        <v>440033.05785123975</v>
      </c>
      <c r="D6" s="65">
        <f>T19</f>
        <v>495264.79338842985</v>
      </c>
      <c r="G6" s="89" t="s">
        <v>87</v>
      </c>
      <c r="H6" s="45">
        <v>0</v>
      </c>
      <c r="I6" s="45">
        <v>600</v>
      </c>
      <c r="J6" s="45">
        <v>800</v>
      </c>
      <c r="K6" s="45">
        <v>900</v>
      </c>
      <c r="L6" s="45">
        <v>1000</v>
      </c>
      <c r="M6" s="45">
        <v>1100</v>
      </c>
      <c r="N6" s="45">
        <v>1150</v>
      </c>
      <c r="O6" s="45">
        <v>1200</v>
      </c>
      <c r="P6" s="45">
        <v>1250</v>
      </c>
      <c r="Q6" s="45">
        <v>1300</v>
      </c>
      <c r="R6" s="45">
        <v>1350</v>
      </c>
      <c r="S6" s="45">
        <v>1400</v>
      </c>
      <c r="T6" s="106"/>
      <c r="U6" s="112">
        <f>V6/1.21</f>
        <v>24.793388429752067</v>
      </c>
      <c r="V6" s="113">
        <v>30</v>
      </c>
    </row>
    <row r="7" spans="1:22" ht="15.75" customHeight="1" x14ac:dyDescent="0.35">
      <c r="A7" s="55"/>
      <c r="B7" s="87"/>
      <c r="C7" s="87"/>
      <c r="D7" s="88"/>
      <c r="G7" s="107" t="s">
        <v>88</v>
      </c>
      <c r="H7" s="108">
        <f t="shared" ref="H7:S7" si="0">H6*$U$6</f>
        <v>0</v>
      </c>
      <c r="I7" s="108">
        <f t="shared" si="0"/>
        <v>14876.03305785124</v>
      </c>
      <c r="J7" s="108">
        <f t="shared" si="0"/>
        <v>19834.710743801654</v>
      </c>
      <c r="K7" s="108">
        <f t="shared" si="0"/>
        <v>22314.049586776859</v>
      </c>
      <c r="L7" s="108">
        <f t="shared" si="0"/>
        <v>24793.388429752067</v>
      </c>
      <c r="M7" s="108">
        <f t="shared" si="0"/>
        <v>27272.727272727272</v>
      </c>
      <c r="N7" s="108">
        <f t="shared" si="0"/>
        <v>28512.396694214876</v>
      </c>
      <c r="O7" s="108">
        <f t="shared" si="0"/>
        <v>29752.066115702481</v>
      </c>
      <c r="P7" s="108">
        <f t="shared" si="0"/>
        <v>30991.735537190085</v>
      </c>
      <c r="Q7" s="108">
        <f t="shared" si="0"/>
        <v>32231.404958677685</v>
      </c>
      <c r="R7" s="108">
        <f t="shared" si="0"/>
        <v>33471.074380165293</v>
      </c>
      <c r="S7" s="108">
        <f t="shared" si="0"/>
        <v>34710.74380165289</v>
      </c>
      <c r="T7" s="109">
        <f>SUM(H7:S7)</f>
        <v>298760.3305785124</v>
      </c>
      <c r="U7" s="80"/>
    </row>
    <row r="8" spans="1:22" ht="15.75" customHeight="1" x14ac:dyDescent="0.35">
      <c r="A8" s="50" t="s">
        <v>37</v>
      </c>
      <c r="B8" s="59">
        <f>SUM(B6:B7)</f>
        <v>298760.3305785124</v>
      </c>
      <c r="C8" s="59">
        <f>SUM(C6:C7)</f>
        <v>440033.05785123975</v>
      </c>
      <c r="D8" s="68">
        <f>SUM(D6:D7)</f>
        <v>495264.79338842985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80"/>
    </row>
    <row r="9" spans="1:22" ht="15.75" customHeight="1" x14ac:dyDescent="0.35">
      <c r="A9" s="55"/>
      <c r="B9" s="87"/>
      <c r="C9" s="87"/>
      <c r="D9" s="88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80"/>
    </row>
    <row r="10" spans="1:22" ht="15.75" customHeight="1" x14ac:dyDescent="0.35">
      <c r="A10" s="50" t="s">
        <v>36</v>
      </c>
      <c r="B10" s="84"/>
      <c r="C10" s="84"/>
      <c r="D10" s="51"/>
      <c r="G10" s="103" t="s">
        <v>1</v>
      </c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104" t="s">
        <v>85</v>
      </c>
      <c r="U10" s="80"/>
    </row>
    <row r="11" spans="1:22" ht="15.75" customHeight="1" x14ac:dyDescent="0.35">
      <c r="A11" s="55"/>
      <c r="B11" s="87"/>
      <c r="C11" s="87"/>
      <c r="D11" s="88"/>
      <c r="E11" s="115" t="s">
        <v>101</v>
      </c>
      <c r="G11" s="55" t="s">
        <v>86</v>
      </c>
      <c r="H11" s="105">
        <v>1</v>
      </c>
      <c r="I11" s="105">
        <v>2</v>
      </c>
      <c r="J11" s="105">
        <v>3</v>
      </c>
      <c r="K11" s="105">
        <v>4</v>
      </c>
      <c r="L11" s="105">
        <v>5</v>
      </c>
      <c r="M11" s="105">
        <v>6</v>
      </c>
      <c r="N11" s="105">
        <v>7</v>
      </c>
      <c r="O11" s="105">
        <v>8</v>
      </c>
      <c r="P11" s="105">
        <v>9</v>
      </c>
      <c r="Q11" s="105">
        <v>10</v>
      </c>
      <c r="R11" s="105">
        <v>11</v>
      </c>
      <c r="S11" s="105">
        <v>12</v>
      </c>
      <c r="T11" s="106"/>
      <c r="U11" s="80"/>
    </row>
    <row r="12" spans="1:22" ht="15.75" customHeight="1" x14ac:dyDescent="0.35">
      <c r="A12" s="89" t="s">
        <v>104</v>
      </c>
      <c r="B12" s="56">
        <f>$E$12*(B8)</f>
        <v>149380.1652892562</v>
      </c>
      <c r="C12" s="56">
        <f t="shared" ref="C12:D12" si="1">$E$12*(C8)</f>
        <v>220016.52892561987</v>
      </c>
      <c r="D12" s="65">
        <f t="shared" si="1"/>
        <v>247632.39669421493</v>
      </c>
      <c r="E12" s="116">
        <v>0.5</v>
      </c>
      <c r="G12" s="89" t="s">
        <v>87</v>
      </c>
      <c r="H12" s="45">
        <v>1400</v>
      </c>
      <c r="I12" s="45">
        <v>1400</v>
      </c>
      <c r="J12" s="45">
        <v>1400</v>
      </c>
      <c r="K12" s="45">
        <v>1400</v>
      </c>
      <c r="L12" s="45">
        <v>1400</v>
      </c>
      <c r="M12" s="45">
        <v>1400</v>
      </c>
      <c r="N12" s="45">
        <v>1500</v>
      </c>
      <c r="O12" s="45">
        <v>1500</v>
      </c>
      <c r="P12" s="45">
        <v>1500</v>
      </c>
      <c r="Q12" s="45">
        <v>1500</v>
      </c>
      <c r="R12" s="45">
        <v>1500</v>
      </c>
      <c r="S12" s="45">
        <v>1500</v>
      </c>
      <c r="T12" s="106"/>
      <c r="U12" s="112">
        <f>1.02*U6</f>
        <v>25.289256198347108</v>
      </c>
    </row>
    <row r="13" spans="1:22" ht="15.75" customHeight="1" x14ac:dyDescent="0.35">
      <c r="A13" s="90"/>
      <c r="B13" s="28"/>
      <c r="C13" s="28"/>
      <c r="D13" s="19"/>
      <c r="G13" s="107" t="s">
        <v>88</v>
      </c>
      <c r="H13" s="108">
        <f t="shared" ref="H13:S13" si="2">H12*$U$12</f>
        <v>35404.958677685951</v>
      </c>
      <c r="I13" s="108">
        <f t="shared" si="2"/>
        <v>35404.958677685951</v>
      </c>
      <c r="J13" s="108">
        <f t="shared" si="2"/>
        <v>35404.958677685951</v>
      </c>
      <c r="K13" s="108">
        <f t="shared" si="2"/>
        <v>35404.958677685951</v>
      </c>
      <c r="L13" s="108">
        <f t="shared" si="2"/>
        <v>35404.958677685951</v>
      </c>
      <c r="M13" s="108">
        <f t="shared" si="2"/>
        <v>35404.958677685951</v>
      </c>
      <c r="N13" s="108">
        <f t="shared" si="2"/>
        <v>37933.884297520664</v>
      </c>
      <c r="O13" s="108">
        <f t="shared" si="2"/>
        <v>37933.884297520664</v>
      </c>
      <c r="P13" s="108">
        <f t="shared" si="2"/>
        <v>37933.884297520664</v>
      </c>
      <c r="Q13" s="108">
        <f t="shared" si="2"/>
        <v>37933.884297520664</v>
      </c>
      <c r="R13" s="108">
        <f t="shared" si="2"/>
        <v>37933.884297520664</v>
      </c>
      <c r="S13" s="108">
        <f t="shared" si="2"/>
        <v>37933.884297520664</v>
      </c>
      <c r="T13" s="109">
        <f>SUM(H13:S13)</f>
        <v>440033.05785123975</v>
      </c>
      <c r="U13" s="80"/>
    </row>
    <row r="14" spans="1:22" ht="15.75" customHeight="1" x14ac:dyDescent="0.35">
      <c r="A14" s="50" t="s">
        <v>35</v>
      </c>
      <c r="B14" s="59">
        <f>SUM(B11:B13)</f>
        <v>149380.1652892562</v>
      </c>
      <c r="C14" s="59">
        <f>SUM(C11:C13)</f>
        <v>220016.52892561987</v>
      </c>
      <c r="D14" s="68">
        <f>SUM(D11:D13)</f>
        <v>247632.39669421493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80"/>
    </row>
    <row r="15" spans="1:22" ht="15.75" customHeight="1" x14ac:dyDescent="0.35">
      <c r="A15" s="55"/>
      <c r="B15" s="87"/>
      <c r="C15" s="87"/>
      <c r="D15" s="88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80"/>
    </row>
    <row r="16" spans="1:22" ht="15.75" customHeight="1" x14ac:dyDescent="0.35">
      <c r="A16" s="50" t="s">
        <v>34</v>
      </c>
      <c r="B16" s="59">
        <f>B8-B14</f>
        <v>149380.1652892562</v>
      </c>
      <c r="C16" s="59">
        <f>C8-C14</f>
        <v>220016.52892561987</v>
      </c>
      <c r="D16" s="68">
        <f>D8-D14</f>
        <v>247632.39669421493</v>
      </c>
      <c r="G16" s="103" t="s">
        <v>2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104" t="s">
        <v>85</v>
      </c>
      <c r="U16" s="80"/>
    </row>
    <row r="17" spans="1:22" ht="15.75" customHeight="1" x14ac:dyDescent="0.35">
      <c r="A17" s="52" t="s">
        <v>33</v>
      </c>
      <c r="B17" s="91">
        <f>B16/B8</f>
        <v>0.5</v>
      </c>
      <c r="C17" s="91">
        <f>C16/C8</f>
        <v>0.5</v>
      </c>
      <c r="D17" s="92">
        <f>D16/D8</f>
        <v>0.5</v>
      </c>
      <c r="G17" s="55" t="s">
        <v>86</v>
      </c>
      <c r="H17" s="105">
        <v>1</v>
      </c>
      <c r="I17" s="105">
        <v>2</v>
      </c>
      <c r="J17" s="105">
        <v>3</v>
      </c>
      <c r="K17" s="105">
        <v>4</v>
      </c>
      <c r="L17" s="105">
        <v>5</v>
      </c>
      <c r="M17" s="105">
        <v>6</v>
      </c>
      <c r="N17" s="105">
        <v>7</v>
      </c>
      <c r="O17" s="105">
        <v>8</v>
      </c>
      <c r="P17" s="105">
        <v>9</v>
      </c>
      <c r="Q17" s="105">
        <v>10</v>
      </c>
      <c r="R17" s="105">
        <v>11</v>
      </c>
      <c r="S17" s="105">
        <v>12</v>
      </c>
      <c r="T17" s="106"/>
      <c r="U17" s="80"/>
    </row>
    <row r="18" spans="1:22" ht="15.75" customHeight="1" x14ac:dyDescent="0.35">
      <c r="A18" s="47"/>
      <c r="B18" s="93"/>
      <c r="C18" s="93"/>
      <c r="D18" s="49"/>
      <c r="G18" s="89" t="s">
        <v>87</v>
      </c>
      <c r="H18" s="45">
        <v>1600</v>
      </c>
      <c r="I18" s="45">
        <v>1600</v>
      </c>
      <c r="J18" s="45">
        <v>1600</v>
      </c>
      <c r="K18" s="45">
        <v>1600</v>
      </c>
      <c r="L18" s="45">
        <v>1600</v>
      </c>
      <c r="M18" s="45">
        <v>1600</v>
      </c>
      <c r="N18" s="45">
        <v>1600</v>
      </c>
      <c r="O18" s="45">
        <v>1600</v>
      </c>
      <c r="P18" s="45">
        <v>1600</v>
      </c>
      <c r="Q18" s="45">
        <v>1600</v>
      </c>
      <c r="R18" s="45">
        <v>1600</v>
      </c>
      <c r="S18" s="45">
        <v>1600</v>
      </c>
      <c r="T18" s="106"/>
      <c r="U18" s="112">
        <f>1.02*U12</f>
        <v>25.795041322314049</v>
      </c>
    </row>
    <row r="19" spans="1:22" ht="15.75" customHeight="1" x14ac:dyDescent="0.35">
      <c r="A19" s="50" t="s">
        <v>32</v>
      </c>
      <c r="B19" s="59"/>
      <c r="C19" s="59"/>
      <c r="D19" s="68"/>
      <c r="G19" s="107" t="s">
        <v>88</v>
      </c>
      <c r="H19" s="108">
        <f t="shared" ref="H19:S19" si="3">H18*$U$18</f>
        <v>41272.066115702481</v>
      </c>
      <c r="I19" s="108">
        <f t="shared" si="3"/>
        <v>41272.066115702481</v>
      </c>
      <c r="J19" s="108">
        <f t="shared" si="3"/>
        <v>41272.066115702481</v>
      </c>
      <c r="K19" s="108">
        <f t="shared" si="3"/>
        <v>41272.066115702481</v>
      </c>
      <c r="L19" s="108">
        <f t="shared" si="3"/>
        <v>41272.066115702481</v>
      </c>
      <c r="M19" s="108">
        <f t="shared" si="3"/>
        <v>41272.066115702481</v>
      </c>
      <c r="N19" s="108">
        <f t="shared" si="3"/>
        <v>41272.066115702481</v>
      </c>
      <c r="O19" s="108">
        <f t="shared" si="3"/>
        <v>41272.066115702481</v>
      </c>
      <c r="P19" s="108">
        <f t="shared" si="3"/>
        <v>41272.066115702481</v>
      </c>
      <c r="Q19" s="108">
        <f t="shared" si="3"/>
        <v>41272.066115702481</v>
      </c>
      <c r="R19" s="108">
        <f t="shared" si="3"/>
        <v>41272.066115702481</v>
      </c>
      <c r="S19" s="108">
        <f t="shared" si="3"/>
        <v>41272.066115702481</v>
      </c>
      <c r="T19" s="109">
        <f>SUM(H19:S19)</f>
        <v>495264.79338842985</v>
      </c>
    </row>
    <row r="20" spans="1:22" ht="15.75" customHeight="1" x14ac:dyDescent="0.35">
      <c r="A20" s="55"/>
      <c r="B20" s="153" t="s">
        <v>0</v>
      </c>
      <c r="C20" s="153" t="s">
        <v>1</v>
      </c>
      <c r="D20" s="83" t="s">
        <v>2</v>
      </c>
    </row>
    <row r="21" spans="1:22" ht="15.75" customHeight="1" x14ac:dyDescent="0.35">
      <c r="A21" s="52" t="s">
        <v>31</v>
      </c>
      <c r="B21" s="45"/>
      <c r="C21" s="45"/>
      <c r="D21" s="57"/>
      <c r="U21" s="1"/>
      <c r="V21" s="1"/>
    </row>
    <row r="22" spans="1:22" ht="15.75" customHeight="1" x14ac:dyDescent="0.35">
      <c r="A22" s="55" t="s">
        <v>55</v>
      </c>
      <c r="B22" s="56">
        <f>2300*12*0.5</f>
        <v>13800</v>
      </c>
      <c r="C22" s="56">
        <f>2300*12*0.75*1.02</f>
        <v>21114</v>
      </c>
      <c r="D22" s="65">
        <f>2300*12*1.02*1.02</f>
        <v>28715.040000000001</v>
      </c>
      <c r="U22" s="1"/>
      <c r="V22" s="1"/>
    </row>
    <row r="23" spans="1:22" ht="15.75" customHeight="1" x14ac:dyDescent="0.35">
      <c r="A23" s="55" t="s">
        <v>54</v>
      </c>
      <c r="B23" s="56">
        <f>0.15*B22</f>
        <v>2070</v>
      </c>
      <c r="C23" s="56">
        <f>0.15*C22</f>
        <v>3167.1</v>
      </c>
      <c r="D23" s="65">
        <f>0.15*D22</f>
        <v>4307.2560000000003</v>
      </c>
      <c r="U23" s="1"/>
      <c r="V23" s="1"/>
    </row>
    <row r="24" spans="1:22" ht="15.75" customHeight="1" x14ac:dyDescent="0.35">
      <c r="A24" s="55" t="s">
        <v>53</v>
      </c>
      <c r="B24" s="56">
        <f>0.08*B22</f>
        <v>1104</v>
      </c>
      <c r="C24" s="56">
        <f>0.08*C22</f>
        <v>1689.1200000000001</v>
      </c>
      <c r="D24" s="65">
        <f>0.08*D22</f>
        <v>2297.2031999999999</v>
      </c>
      <c r="U24" s="1"/>
      <c r="V24" s="1"/>
    </row>
    <row r="25" spans="1:22" ht="15.75" customHeight="1" x14ac:dyDescent="0.35">
      <c r="A25" s="55" t="s">
        <v>52</v>
      </c>
      <c r="B25" s="56">
        <f>0.05*B22</f>
        <v>690</v>
      </c>
      <c r="C25" s="56">
        <f>0.05*C22</f>
        <v>1055.7</v>
      </c>
      <c r="D25" s="65">
        <f>0.05*D22</f>
        <v>1435.7520000000002</v>
      </c>
      <c r="U25" s="1"/>
      <c r="V25" s="1"/>
    </row>
    <row r="26" spans="1:22" ht="15.75" customHeight="1" x14ac:dyDescent="0.35">
      <c r="A26" s="55" t="s">
        <v>6</v>
      </c>
      <c r="B26" s="56">
        <f>0.02*B22</f>
        <v>276</v>
      </c>
      <c r="C26" s="56">
        <f>0.02*C22</f>
        <v>422.28000000000003</v>
      </c>
      <c r="D26" s="65">
        <f>0.02*D22</f>
        <v>574.30079999999998</v>
      </c>
      <c r="U26" s="1"/>
      <c r="V26" s="1"/>
    </row>
    <row r="27" spans="1:22" ht="15.75" customHeight="1" x14ac:dyDescent="0.35">
      <c r="A27" s="55" t="s">
        <v>109</v>
      </c>
      <c r="B27" s="56">
        <v>56000</v>
      </c>
      <c r="C27" s="56">
        <v>58000</v>
      </c>
      <c r="D27" s="65">
        <v>60000</v>
      </c>
      <c r="U27" s="1"/>
      <c r="V27" s="1"/>
    </row>
    <row r="28" spans="1:22" ht="15.75" customHeight="1" x14ac:dyDescent="0.35">
      <c r="A28" s="52" t="s">
        <v>51</v>
      </c>
      <c r="B28" s="58">
        <f>SUM(B22:B27)</f>
        <v>73940</v>
      </c>
      <c r="C28" s="58">
        <f t="shared" ref="C28:D28" si="4">SUM(C22:C27)</f>
        <v>85448.2</v>
      </c>
      <c r="D28" s="66">
        <f t="shared" si="4"/>
        <v>97329.551999999996</v>
      </c>
      <c r="U28" s="1"/>
      <c r="V28" s="1"/>
    </row>
    <row r="29" spans="1:22" ht="15.75" customHeight="1" x14ac:dyDescent="0.35">
      <c r="A29" s="55"/>
      <c r="B29" s="87"/>
      <c r="C29" s="87"/>
      <c r="D29" s="88"/>
      <c r="U29" s="1"/>
      <c r="V29" s="1"/>
    </row>
    <row r="30" spans="1:22" ht="15.75" customHeight="1" x14ac:dyDescent="0.35">
      <c r="A30" s="52" t="s">
        <v>30</v>
      </c>
      <c r="B30" s="87"/>
      <c r="C30" s="87"/>
      <c r="D30" s="88"/>
      <c r="U30" s="1"/>
      <c r="V30" s="1"/>
    </row>
    <row r="31" spans="1:22" ht="15.75" customHeight="1" x14ac:dyDescent="0.35">
      <c r="A31" s="55" t="s">
        <v>50</v>
      </c>
      <c r="B31" s="56">
        <v>600</v>
      </c>
      <c r="C31" s="56">
        <f t="shared" ref="C31:D35" si="5">1.02*B31</f>
        <v>612</v>
      </c>
      <c r="D31" s="65">
        <f t="shared" si="5"/>
        <v>624.24</v>
      </c>
      <c r="U31" s="1"/>
      <c r="V31" s="1"/>
    </row>
    <row r="32" spans="1:22" ht="15.75" customHeight="1" x14ac:dyDescent="0.35">
      <c r="A32" s="55" t="s">
        <v>49</v>
      </c>
      <c r="B32" s="56">
        <v>1200</v>
      </c>
      <c r="C32" s="56">
        <f t="shared" si="5"/>
        <v>1224</v>
      </c>
      <c r="D32" s="65">
        <f t="shared" si="5"/>
        <v>1248.48</v>
      </c>
      <c r="U32" s="1"/>
      <c r="V32" s="1"/>
    </row>
    <row r="33" spans="1:22" ht="15.75" customHeight="1" x14ac:dyDescent="0.35">
      <c r="A33" s="55" t="s">
        <v>40</v>
      </c>
      <c r="B33" s="56">
        <v>2500</v>
      </c>
      <c r="C33" s="56">
        <f t="shared" si="5"/>
        <v>2550</v>
      </c>
      <c r="D33" s="65">
        <f t="shared" si="5"/>
        <v>2601</v>
      </c>
      <c r="U33" s="1"/>
      <c r="V33" s="1"/>
    </row>
    <row r="34" spans="1:22" ht="15.75" customHeight="1" x14ac:dyDescent="0.35">
      <c r="A34" s="55" t="s">
        <v>48</v>
      </c>
      <c r="B34" s="56">
        <v>2500</v>
      </c>
      <c r="C34" s="56">
        <f t="shared" ref="C34" si="6">1.02*B34</f>
        <v>2550</v>
      </c>
      <c r="D34" s="65">
        <f t="shared" ref="D34" si="7">1.02*C34</f>
        <v>2601</v>
      </c>
      <c r="U34" s="1"/>
      <c r="V34" s="1"/>
    </row>
    <row r="35" spans="1:22" ht="15.75" customHeight="1" x14ac:dyDescent="0.35">
      <c r="A35" s="55" t="s">
        <v>6</v>
      </c>
      <c r="B35" s="56">
        <v>1000</v>
      </c>
      <c r="C35" s="56">
        <f t="shared" si="5"/>
        <v>1020</v>
      </c>
      <c r="D35" s="65">
        <f t="shared" si="5"/>
        <v>1040.4000000000001</v>
      </c>
      <c r="U35" s="1"/>
      <c r="V35" s="1"/>
    </row>
    <row r="36" spans="1:22" ht="15.75" customHeight="1" x14ac:dyDescent="0.35">
      <c r="A36" s="52" t="s">
        <v>47</v>
      </c>
      <c r="B36" s="58">
        <f>SUM(B31:B35)</f>
        <v>7800</v>
      </c>
      <c r="C36" s="58">
        <f>SUM(C31:C35)</f>
        <v>7956</v>
      </c>
      <c r="D36" s="66">
        <f>SUM(D31:D35)</f>
        <v>8115.1200000000008</v>
      </c>
      <c r="U36" s="1"/>
      <c r="V36" s="1"/>
    </row>
    <row r="37" spans="1:22" ht="15.75" customHeight="1" x14ac:dyDescent="0.35">
      <c r="A37" s="52"/>
      <c r="B37" s="87"/>
      <c r="C37" s="87"/>
      <c r="D37" s="88"/>
      <c r="U37" s="1"/>
      <c r="V37" s="1"/>
    </row>
    <row r="38" spans="1:22" ht="15.75" customHeight="1" x14ac:dyDescent="0.35">
      <c r="A38" s="52" t="s">
        <v>29</v>
      </c>
      <c r="B38" s="87"/>
      <c r="C38" s="87"/>
      <c r="D38" s="88"/>
      <c r="U38" s="1"/>
      <c r="V38" s="1"/>
    </row>
    <row r="39" spans="1:22" ht="15.75" customHeight="1" x14ac:dyDescent="0.35">
      <c r="A39" s="55" t="s">
        <v>46</v>
      </c>
      <c r="B39" s="56">
        <f>2000*12</f>
        <v>24000</v>
      </c>
      <c r="C39" s="56">
        <f t="shared" ref="C39:D39" si="8">1.02*B39</f>
        <v>24480</v>
      </c>
      <c r="D39" s="65">
        <f t="shared" si="8"/>
        <v>24969.600000000002</v>
      </c>
      <c r="U39" s="1"/>
      <c r="V39" s="1"/>
    </row>
    <row r="40" spans="1:22" ht="15.75" customHeight="1" x14ac:dyDescent="0.35">
      <c r="A40" s="55" t="s">
        <v>45</v>
      </c>
      <c r="B40" s="56">
        <f>400*12</f>
        <v>4800</v>
      </c>
      <c r="C40" s="56">
        <f t="shared" ref="C40:D40" si="9">1.02*B40</f>
        <v>4896</v>
      </c>
      <c r="D40" s="65">
        <f t="shared" si="9"/>
        <v>4993.92</v>
      </c>
      <c r="U40" s="1"/>
      <c r="V40" s="1"/>
    </row>
    <row r="41" spans="1:22" ht="15.75" customHeight="1" x14ac:dyDescent="0.35">
      <c r="A41" s="55" t="s">
        <v>44</v>
      </c>
      <c r="B41" s="56">
        <f>150*12</f>
        <v>1800</v>
      </c>
      <c r="C41" s="56">
        <f t="shared" ref="C41:D41" si="10">1.02*B41</f>
        <v>1836</v>
      </c>
      <c r="D41" s="65">
        <f t="shared" si="10"/>
        <v>1872.72</v>
      </c>
      <c r="U41" s="1"/>
      <c r="V41" s="1"/>
    </row>
    <row r="42" spans="1:22" ht="15.75" customHeight="1" x14ac:dyDescent="0.35">
      <c r="A42" s="52" t="s">
        <v>43</v>
      </c>
      <c r="B42" s="58">
        <f>SUM(B39:B41)</f>
        <v>30600</v>
      </c>
      <c r="C42" s="58">
        <f>SUM(C39:C41)</f>
        <v>31212</v>
      </c>
      <c r="D42" s="66">
        <f>SUM(D39:D41)</f>
        <v>31836.240000000005</v>
      </c>
      <c r="U42" s="1"/>
      <c r="V42" s="1"/>
    </row>
    <row r="43" spans="1:22" ht="15.75" customHeight="1" x14ac:dyDescent="0.35">
      <c r="A43" s="52"/>
      <c r="B43" s="87"/>
      <c r="C43" s="87"/>
      <c r="D43" s="88"/>
      <c r="U43" s="1"/>
      <c r="V43" s="1"/>
    </row>
    <row r="44" spans="1:22" ht="15.75" customHeight="1" x14ac:dyDescent="0.35">
      <c r="A44" s="52" t="s">
        <v>28</v>
      </c>
      <c r="B44" s="87"/>
      <c r="C44" s="87"/>
      <c r="D44" s="88"/>
      <c r="U44" s="1"/>
      <c r="V44" s="1"/>
    </row>
    <row r="45" spans="1:22" ht="15.75" customHeight="1" x14ac:dyDescent="0.35">
      <c r="A45" s="55" t="s">
        <v>42</v>
      </c>
      <c r="B45" s="56">
        <v>8000</v>
      </c>
      <c r="C45" s="56">
        <v>10000</v>
      </c>
      <c r="D45" s="65">
        <v>12000</v>
      </c>
      <c r="U45" s="1"/>
      <c r="V45" s="1"/>
    </row>
    <row r="46" spans="1:22" ht="15.75" customHeight="1" x14ac:dyDescent="0.35">
      <c r="A46" s="55" t="s">
        <v>105</v>
      </c>
      <c r="B46" s="56">
        <v>1500</v>
      </c>
      <c r="C46" s="56">
        <f>1.02*B46</f>
        <v>1530</v>
      </c>
      <c r="D46" s="65">
        <f>1.02*C46</f>
        <v>1560.6000000000001</v>
      </c>
      <c r="U46" s="1"/>
      <c r="V46" s="1"/>
    </row>
    <row r="47" spans="1:22" ht="15.75" customHeight="1" x14ac:dyDescent="0.35">
      <c r="A47" s="52" t="s">
        <v>41</v>
      </c>
      <c r="B47" s="58">
        <f>SUM(B45:B46)</f>
        <v>9500</v>
      </c>
      <c r="C47" s="58">
        <f t="shared" ref="C47:D47" si="11">SUM(C45:C46)</f>
        <v>11530</v>
      </c>
      <c r="D47" s="66">
        <f t="shared" si="11"/>
        <v>13560.6</v>
      </c>
      <c r="U47" s="1"/>
      <c r="V47" s="1"/>
    </row>
    <row r="48" spans="1:22" ht="15.75" customHeight="1" x14ac:dyDescent="0.35">
      <c r="A48" s="55"/>
      <c r="B48" s="87"/>
      <c r="C48" s="87"/>
      <c r="D48" s="88"/>
      <c r="U48" s="1"/>
      <c r="V48" s="1"/>
    </row>
    <row r="49" spans="1:22" ht="15.75" customHeight="1" x14ac:dyDescent="0.35">
      <c r="A49" s="52" t="s">
        <v>27</v>
      </c>
      <c r="B49" s="87"/>
      <c r="C49" s="87"/>
      <c r="D49" s="88"/>
      <c r="U49" s="1"/>
      <c r="V49" s="1"/>
    </row>
    <row r="50" spans="1:22" ht="15.75" customHeight="1" x14ac:dyDescent="0.35">
      <c r="A50" s="55" t="str">
        <f>Investering!A7</f>
        <v>Verbouwing</v>
      </c>
      <c r="B50" s="56">
        <f>Investering!B7/Investering!C7</f>
        <v>5000</v>
      </c>
      <c r="C50" s="56">
        <f>B50</f>
        <v>5000</v>
      </c>
      <c r="D50" s="65">
        <f>C50</f>
        <v>5000</v>
      </c>
      <c r="U50" s="1"/>
      <c r="V50" s="1"/>
    </row>
    <row r="51" spans="1:22" ht="15.75" customHeight="1" x14ac:dyDescent="0.35">
      <c r="A51" s="55" t="str">
        <f>Investering!A8</f>
        <v>Inrichting en inventaris</v>
      </c>
      <c r="B51" s="56">
        <f>Investering!B8/Investering!C8</f>
        <v>4000</v>
      </c>
      <c r="C51" s="56">
        <f t="shared" ref="C51:D51" si="12">B51</f>
        <v>4000</v>
      </c>
      <c r="D51" s="65">
        <f t="shared" si="12"/>
        <v>4000</v>
      </c>
      <c r="U51" s="1"/>
      <c r="V51" s="1"/>
    </row>
    <row r="52" spans="1:22" ht="15.75" customHeight="1" x14ac:dyDescent="0.35">
      <c r="A52" s="55" t="str">
        <f>Investering!A9</f>
        <v>Website en opzet online marketing</v>
      </c>
      <c r="B52" s="56">
        <f>Investering!B9/Investering!C9</f>
        <v>1000</v>
      </c>
      <c r="C52" s="56">
        <f t="shared" ref="C52:D52" si="13">B52</f>
        <v>1000</v>
      </c>
      <c r="D52" s="65">
        <f t="shared" si="13"/>
        <v>1000</v>
      </c>
      <c r="U52" s="1"/>
      <c r="V52" s="1"/>
    </row>
    <row r="53" spans="1:22" ht="15.75" customHeight="1" x14ac:dyDescent="0.35">
      <c r="A53" s="55" t="str">
        <f>Investering!A10</f>
        <v>Kassasysteem</v>
      </c>
      <c r="B53" s="56">
        <f>Investering!B10/Investering!C10</f>
        <v>600</v>
      </c>
      <c r="C53" s="56">
        <f t="shared" ref="C53:D53" si="14">B53</f>
        <v>600</v>
      </c>
      <c r="D53" s="65">
        <f t="shared" si="14"/>
        <v>600</v>
      </c>
      <c r="U53" s="1"/>
      <c r="V53" s="1"/>
    </row>
    <row r="54" spans="1:22" ht="15.75" customHeight="1" x14ac:dyDescent="0.35">
      <c r="A54" s="55" t="str">
        <f>Investering!A11</f>
        <v>Overig</v>
      </c>
      <c r="B54" s="56">
        <f>Investering!B11/Investering!C11</f>
        <v>200</v>
      </c>
      <c r="C54" s="56">
        <f t="shared" ref="C54:D54" si="15">B54</f>
        <v>200</v>
      </c>
      <c r="D54" s="65">
        <f t="shared" si="15"/>
        <v>200</v>
      </c>
      <c r="U54" s="1"/>
      <c r="V54" s="1"/>
    </row>
    <row r="55" spans="1:22" ht="15.75" customHeight="1" x14ac:dyDescent="0.35">
      <c r="A55" s="52" t="s">
        <v>39</v>
      </c>
      <c r="B55" s="58">
        <f>SUM(B50:B54)</f>
        <v>10800</v>
      </c>
      <c r="C55" s="58">
        <f>SUM(C50:C54)</f>
        <v>10800</v>
      </c>
      <c r="D55" s="66">
        <f>SUM(D50:D54)</f>
        <v>10800</v>
      </c>
      <c r="U55" s="1"/>
      <c r="V55" s="1"/>
    </row>
    <row r="56" spans="1:22" ht="15.75" customHeight="1" x14ac:dyDescent="0.35">
      <c r="A56" s="52"/>
      <c r="B56" s="58"/>
      <c r="C56" s="58"/>
      <c r="D56" s="66"/>
      <c r="U56" s="1"/>
      <c r="V56" s="1"/>
    </row>
    <row r="57" spans="1:22" ht="15.75" customHeight="1" x14ac:dyDescent="0.35">
      <c r="A57" s="52" t="s">
        <v>10</v>
      </c>
      <c r="B57" s="58">
        <f>Investering!B21</f>
        <v>5000</v>
      </c>
      <c r="C57" s="58">
        <v>0</v>
      </c>
      <c r="D57" s="66">
        <v>0</v>
      </c>
      <c r="U57" s="1"/>
      <c r="V57" s="1"/>
    </row>
    <row r="58" spans="1:22" ht="15.75" customHeight="1" x14ac:dyDescent="0.35">
      <c r="A58" s="4"/>
      <c r="B58" s="3"/>
      <c r="C58" s="3"/>
      <c r="D58" s="6"/>
    </row>
    <row r="59" spans="1:22" ht="15.75" customHeight="1" x14ac:dyDescent="0.35">
      <c r="A59" s="50" t="s">
        <v>26</v>
      </c>
      <c r="B59" s="59">
        <f>B28+B36+B42+B47+B55+B57</f>
        <v>137640</v>
      </c>
      <c r="C59" s="59">
        <f>C28+C36+C42+C47+C55+C57</f>
        <v>146946.20000000001</v>
      </c>
      <c r="D59" s="68">
        <f>D28+D36+D42+D47+D55+D57</f>
        <v>161641.51200000002</v>
      </c>
    </row>
    <row r="60" spans="1:22" ht="15.75" customHeight="1" x14ac:dyDescent="0.35">
      <c r="A60" s="95"/>
      <c r="B60" s="96"/>
      <c r="C60" s="96"/>
      <c r="D60" s="97"/>
    </row>
    <row r="61" spans="1:22" ht="15.75" customHeight="1" x14ac:dyDescent="0.35">
      <c r="A61" s="50" t="s">
        <v>25</v>
      </c>
      <c r="B61" s="59">
        <f>B16-B59</f>
        <v>11740.165289256198</v>
      </c>
      <c r="C61" s="59">
        <f>C16-C59</f>
        <v>73070.328925619862</v>
      </c>
      <c r="D61" s="68">
        <f>D16-D59</f>
        <v>85990.88469421491</v>
      </c>
    </row>
    <row r="62" spans="1:22" ht="15.75" customHeight="1" x14ac:dyDescent="0.35">
      <c r="A62" s="55"/>
      <c r="B62" s="98"/>
      <c r="C62" s="98"/>
      <c r="D62" s="99"/>
    </row>
    <row r="63" spans="1:22" ht="15.75" customHeight="1" x14ac:dyDescent="0.35">
      <c r="A63" s="55" t="s">
        <v>24</v>
      </c>
      <c r="B63" s="56">
        <f>'Liquiditeit Jaar 1'!N27+'Liquiditeit Jaar 1'!N28</f>
        <v>7256.25</v>
      </c>
      <c r="C63" s="56">
        <f>'Liquiditeit Jaar 2'!N27+'Liquiditeit Jaar 2'!N28</f>
        <v>3806.25</v>
      </c>
      <c r="D63" s="65">
        <f>'Liquiditeit Jaar 3'!N27+'Liquiditeit Jaar 3'!N28</f>
        <v>2756.2500000000005</v>
      </c>
    </row>
    <row r="64" spans="1:22" ht="15.75" customHeight="1" x14ac:dyDescent="0.35">
      <c r="A64" s="55"/>
      <c r="B64" s="98"/>
      <c r="C64" s="98"/>
      <c r="D64" s="99"/>
    </row>
    <row r="65" spans="1:4" ht="15.75" customHeight="1" x14ac:dyDescent="0.35">
      <c r="A65" s="50" t="s">
        <v>23</v>
      </c>
      <c r="B65" s="59">
        <f>B61-B63</f>
        <v>4483.9152892561979</v>
      </c>
      <c r="C65" s="59">
        <f>C61-C63</f>
        <v>69264.078925619862</v>
      </c>
      <c r="D65" s="68">
        <f>D61-D63</f>
        <v>83234.63469421491</v>
      </c>
    </row>
    <row r="66" spans="1:4" x14ac:dyDescent="0.35">
      <c r="A66" s="55"/>
      <c r="B66" s="45"/>
      <c r="C66" s="45"/>
      <c r="D66" s="57"/>
    </row>
    <row r="67" spans="1:4" x14ac:dyDescent="0.35">
      <c r="A67" s="55" t="s">
        <v>108</v>
      </c>
      <c r="B67" s="56">
        <f>0.19*B65</f>
        <v>851.94390495867765</v>
      </c>
      <c r="C67" s="56">
        <f t="shared" ref="C67:D67" si="16">0.19*C65</f>
        <v>13160.174995867774</v>
      </c>
      <c r="D67" s="65">
        <f t="shared" si="16"/>
        <v>15814.580591900833</v>
      </c>
    </row>
    <row r="68" spans="1:4" x14ac:dyDescent="0.35">
      <c r="A68" s="55"/>
      <c r="B68" s="45"/>
      <c r="C68" s="45"/>
      <c r="D68" s="57"/>
    </row>
    <row r="69" spans="1:4" x14ac:dyDescent="0.35">
      <c r="A69" s="50" t="s">
        <v>90</v>
      </c>
      <c r="B69" s="59">
        <f>B65-B67</f>
        <v>3631.9713842975202</v>
      </c>
      <c r="C69" s="59">
        <f t="shared" ref="C69:D69" si="17">C65-C67</f>
        <v>56103.903929752087</v>
      </c>
      <c r="D69" s="68">
        <f t="shared" si="17"/>
        <v>67420.054102314083</v>
      </c>
    </row>
    <row r="70" spans="1:4" x14ac:dyDescent="0.35">
      <c r="A70" s="102"/>
      <c r="B70" s="100"/>
      <c r="C70" s="100"/>
      <c r="D70" s="101"/>
    </row>
    <row r="71" spans="1:4" x14ac:dyDescent="0.35">
      <c r="A71" s="45"/>
      <c r="B71" s="45"/>
      <c r="C71" s="45"/>
      <c r="D71" s="45"/>
    </row>
    <row r="72" spans="1:4" ht="21" x14ac:dyDescent="0.35">
      <c r="A72" s="42" t="s">
        <v>102</v>
      </c>
      <c r="B72" s="40"/>
      <c r="C72" s="40"/>
      <c r="D72" s="40"/>
    </row>
    <row r="74" spans="1:4" x14ac:dyDescent="0.35">
      <c r="A74" s="81"/>
      <c r="B74" s="82" t="s">
        <v>0</v>
      </c>
      <c r="C74" s="82" t="s">
        <v>1</v>
      </c>
      <c r="D74" s="94" t="s">
        <v>2</v>
      </c>
    </row>
    <row r="75" spans="1:4" x14ac:dyDescent="0.35">
      <c r="A75" s="50" t="s">
        <v>38</v>
      </c>
      <c r="B75" s="84"/>
      <c r="C75" s="84"/>
      <c r="D75" s="51"/>
    </row>
    <row r="76" spans="1:4" x14ac:dyDescent="0.35">
      <c r="A76" s="55"/>
      <c r="B76" s="85"/>
      <c r="C76" s="85"/>
      <c r="D76" s="86"/>
    </row>
    <row r="77" spans="1:4" x14ac:dyDescent="0.35">
      <c r="A77" s="55" t="str">
        <f>A6</f>
        <v>Omzet</v>
      </c>
      <c r="B77" s="56">
        <f>B6</f>
        <v>298760.3305785124</v>
      </c>
      <c r="C77" s="56">
        <f>C6</f>
        <v>440033.05785123975</v>
      </c>
      <c r="D77" s="65">
        <f>D6</f>
        <v>495264.79338842985</v>
      </c>
    </row>
    <row r="78" spans="1:4" x14ac:dyDescent="0.35">
      <c r="A78" s="55"/>
      <c r="B78" s="87"/>
      <c r="C78" s="87"/>
      <c r="D78" s="88"/>
    </row>
    <row r="79" spans="1:4" x14ac:dyDescent="0.35">
      <c r="A79" s="50" t="s">
        <v>37</v>
      </c>
      <c r="B79" s="59">
        <f>SUM(B77:B78)</f>
        <v>298760.3305785124</v>
      </c>
      <c r="C79" s="59">
        <f>SUM(C77:C78)</f>
        <v>440033.05785123975</v>
      </c>
      <c r="D79" s="68">
        <f>SUM(D77:D78)</f>
        <v>495264.79338842985</v>
      </c>
    </row>
    <row r="80" spans="1:4" x14ac:dyDescent="0.35">
      <c r="A80" s="55"/>
      <c r="B80" s="87"/>
      <c r="C80" s="87"/>
      <c r="D80" s="88"/>
    </row>
    <row r="81" spans="1:4" x14ac:dyDescent="0.35">
      <c r="A81" s="50" t="s">
        <v>36</v>
      </c>
      <c r="B81" s="84"/>
      <c r="C81" s="84"/>
      <c r="D81" s="51"/>
    </row>
    <row r="82" spans="1:4" x14ac:dyDescent="0.35">
      <c r="A82" s="55"/>
      <c r="B82" s="87"/>
      <c r="C82" s="87"/>
      <c r="D82" s="88"/>
    </row>
    <row r="83" spans="1:4" x14ac:dyDescent="0.35">
      <c r="A83" s="89" t="str">
        <f>A12</f>
        <v xml:space="preserve">Inkoop </v>
      </c>
      <c r="B83" s="56">
        <f>B12</f>
        <v>149380.1652892562</v>
      </c>
      <c r="C83" s="56">
        <f>C12</f>
        <v>220016.52892561987</v>
      </c>
      <c r="D83" s="65">
        <f>D12</f>
        <v>247632.39669421493</v>
      </c>
    </row>
    <row r="84" spans="1:4" x14ac:dyDescent="0.35">
      <c r="A84" s="90"/>
      <c r="B84" s="28"/>
      <c r="C84" s="28"/>
      <c r="D84" s="19"/>
    </row>
    <row r="85" spans="1:4" x14ac:dyDescent="0.35">
      <c r="A85" s="50" t="s">
        <v>35</v>
      </c>
      <c r="B85" s="59">
        <f>SUM(B82:B84)</f>
        <v>149380.1652892562</v>
      </c>
      <c r="C85" s="59">
        <f>SUM(C82:C84)</f>
        <v>220016.52892561987</v>
      </c>
      <c r="D85" s="68">
        <f>SUM(D82:D84)</f>
        <v>247632.39669421493</v>
      </c>
    </row>
    <row r="86" spans="1:4" x14ac:dyDescent="0.35">
      <c r="A86" s="55"/>
      <c r="B86" s="87"/>
      <c r="C86" s="87"/>
      <c r="D86" s="88"/>
    </row>
    <row r="87" spans="1:4" x14ac:dyDescent="0.35">
      <c r="A87" s="50" t="s">
        <v>34</v>
      </c>
      <c r="B87" s="59">
        <f>B79-B85</f>
        <v>149380.1652892562</v>
      </c>
      <c r="C87" s="59">
        <f>C79-C85</f>
        <v>220016.52892561987</v>
      </c>
      <c r="D87" s="68">
        <f>D79-D85</f>
        <v>247632.39669421493</v>
      </c>
    </row>
    <row r="88" spans="1:4" x14ac:dyDescent="0.35">
      <c r="A88" s="52" t="s">
        <v>33</v>
      </c>
      <c r="B88" s="91">
        <f>B87/B79</f>
        <v>0.5</v>
      </c>
      <c r="C88" s="91">
        <f>C87/C79</f>
        <v>0.5</v>
      </c>
      <c r="D88" s="92">
        <f>D87/D79</f>
        <v>0.5</v>
      </c>
    </row>
    <row r="89" spans="1:4" x14ac:dyDescent="0.35">
      <c r="A89" s="55"/>
      <c r="B89" s="45"/>
      <c r="C89" s="45"/>
      <c r="D89" s="57"/>
    </row>
    <row r="90" spans="1:4" x14ac:dyDescent="0.35">
      <c r="A90" s="50" t="s">
        <v>32</v>
      </c>
      <c r="B90" s="84"/>
      <c r="C90" s="84"/>
      <c r="D90" s="51"/>
    </row>
    <row r="91" spans="1:4" x14ac:dyDescent="0.35">
      <c r="A91" s="4"/>
      <c r="B91" s="3"/>
      <c r="C91" s="3"/>
      <c r="D91" s="6"/>
    </row>
    <row r="92" spans="1:4" x14ac:dyDescent="0.35">
      <c r="A92" s="55" t="str">
        <f>A21</f>
        <v xml:space="preserve">Personeelskosten </v>
      </c>
      <c r="B92" s="56">
        <f>B28</f>
        <v>73940</v>
      </c>
      <c r="C92" s="56">
        <f>C28</f>
        <v>85448.2</v>
      </c>
      <c r="D92" s="65">
        <f>D28</f>
        <v>97329.551999999996</v>
      </c>
    </row>
    <row r="93" spans="1:4" x14ac:dyDescent="0.35">
      <c r="A93" s="55" t="str">
        <f>A30</f>
        <v>Inventaris- en kantoorkosten</v>
      </c>
      <c r="B93" s="56">
        <f>B36</f>
        <v>7800</v>
      </c>
      <c r="C93" s="56">
        <f>C36</f>
        <v>7956</v>
      </c>
      <c r="D93" s="65">
        <f>D36</f>
        <v>8115.1200000000008</v>
      </c>
    </row>
    <row r="94" spans="1:4" x14ac:dyDescent="0.35">
      <c r="A94" s="55" t="str">
        <f>A38</f>
        <v>Huisvestingskosten</v>
      </c>
      <c r="B94" s="56">
        <f>B42</f>
        <v>30600</v>
      </c>
      <c r="C94" s="56">
        <f>C42</f>
        <v>31212</v>
      </c>
      <c r="D94" s="65">
        <f>D42</f>
        <v>31836.240000000005</v>
      </c>
    </row>
    <row r="95" spans="1:4" x14ac:dyDescent="0.35">
      <c r="A95" s="55" t="str">
        <f>A44</f>
        <v>Verkoopkosten</v>
      </c>
      <c r="B95" s="56">
        <f>B47</f>
        <v>9500</v>
      </c>
      <c r="C95" s="56">
        <f>C47</f>
        <v>11530</v>
      </c>
      <c r="D95" s="65">
        <f>D47</f>
        <v>13560.6</v>
      </c>
    </row>
    <row r="96" spans="1:4" x14ac:dyDescent="0.35">
      <c r="A96" s="55" t="str">
        <f>A49</f>
        <v>Afschrijvingen</v>
      </c>
      <c r="B96" s="56">
        <f>B55</f>
        <v>10800</v>
      </c>
      <c r="C96" s="56">
        <f>C55</f>
        <v>10800</v>
      </c>
      <c r="D96" s="65">
        <f>D55</f>
        <v>10800</v>
      </c>
    </row>
    <row r="97" spans="1:4" x14ac:dyDescent="0.35">
      <c r="A97" s="55" t="str">
        <f>A57</f>
        <v>Openings- en aanloopkosten</v>
      </c>
      <c r="B97" s="56">
        <f>B57</f>
        <v>5000</v>
      </c>
      <c r="C97" s="56">
        <f>C57</f>
        <v>0</v>
      </c>
      <c r="D97" s="65">
        <f>D57</f>
        <v>0</v>
      </c>
    </row>
    <row r="98" spans="1:4" x14ac:dyDescent="0.35">
      <c r="A98" s="4"/>
      <c r="B98" s="3"/>
      <c r="C98" s="3"/>
      <c r="D98" s="6"/>
    </row>
    <row r="99" spans="1:4" x14ac:dyDescent="0.35">
      <c r="A99" s="50" t="s">
        <v>26</v>
      </c>
      <c r="B99" s="59">
        <f>SUM(B92:B97)</f>
        <v>137640</v>
      </c>
      <c r="C99" s="59">
        <f>SUM(C92:C97)</f>
        <v>146946.20000000001</v>
      </c>
      <c r="D99" s="68">
        <f>SUM(D92:D97)</f>
        <v>161641.51200000002</v>
      </c>
    </row>
    <row r="100" spans="1:4" x14ac:dyDescent="0.35">
      <c r="A100" s="52"/>
      <c r="B100" s="98"/>
      <c r="C100" s="98"/>
      <c r="D100" s="99"/>
    </row>
    <row r="101" spans="1:4" x14ac:dyDescent="0.35">
      <c r="A101" s="50" t="s">
        <v>25</v>
      </c>
      <c r="B101" s="59">
        <f>B87-B99</f>
        <v>11740.165289256198</v>
      </c>
      <c r="C101" s="59">
        <f>C87-C99</f>
        <v>73070.328925619862</v>
      </c>
      <c r="D101" s="68">
        <f>D87-D99</f>
        <v>85990.88469421491</v>
      </c>
    </row>
    <row r="102" spans="1:4" x14ac:dyDescent="0.35">
      <c r="A102" s="55"/>
      <c r="B102" s="98"/>
      <c r="C102" s="98"/>
      <c r="D102" s="99"/>
    </row>
    <row r="103" spans="1:4" x14ac:dyDescent="0.35">
      <c r="A103" s="55" t="str">
        <f>A63</f>
        <v>Rentekosten</v>
      </c>
      <c r="B103" s="56">
        <f>B63</f>
        <v>7256.25</v>
      </c>
      <c r="C103" s="56">
        <f>C63</f>
        <v>3806.25</v>
      </c>
      <c r="D103" s="65">
        <f>D63</f>
        <v>2756.2500000000005</v>
      </c>
    </row>
    <row r="104" spans="1:4" x14ac:dyDescent="0.35">
      <c r="A104" s="55"/>
      <c r="B104" s="98"/>
      <c r="C104" s="98"/>
      <c r="D104" s="99"/>
    </row>
    <row r="105" spans="1:4" x14ac:dyDescent="0.35">
      <c r="A105" s="50" t="s">
        <v>23</v>
      </c>
      <c r="B105" s="59">
        <f>B101-B103</f>
        <v>4483.9152892561979</v>
      </c>
      <c r="C105" s="59">
        <f>C101-C103</f>
        <v>69264.078925619862</v>
      </c>
      <c r="D105" s="68">
        <f>D101-D103</f>
        <v>83234.63469421491</v>
      </c>
    </row>
    <row r="106" spans="1:4" x14ac:dyDescent="0.35">
      <c r="A106" s="55"/>
      <c r="B106" s="45"/>
      <c r="C106" s="45"/>
      <c r="D106" s="57"/>
    </row>
    <row r="107" spans="1:4" x14ac:dyDescent="0.35">
      <c r="A107" s="55" t="str">
        <f>A67</f>
        <v>Vennootschapsbelasting</v>
      </c>
      <c r="B107" s="56">
        <f>B67</f>
        <v>851.94390495867765</v>
      </c>
      <c r="C107" s="56">
        <f>C67</f>
        <v>13160.174995867774</v>
      </c>
      <c r="D107" s="65">
        <f>D67</f>
        <v>15814.580591900833</v>
      </c>
    </row>
    <row r="108" spans="1:4" x14ac:dyDescent="0.35">
      <c r="A108" s="55"/>
      <c r="B108" s="45"/>
      <c r="C108" s="45"/>
      <c r="D108" s="57"/>
    </row>
    <row r="109" spans="1:4" x14ac:dyDescent="0.35">
      <c r="A109" s="50" t="s">
        <v>90</v>
      </c>
      <c r="B109" s="59">
        <f>B105-B107</f>
        <v>3631.9713842975202</v>
      </c>
      <c r="C109" s="59">
        <f t="shared" ref="C109:D109" si="18">C105-C107</f>
        <v>56103.903929752087</v>
      </c>
      <c r="D109" s="68">
        <f t="shared" si="18"/>
        <v>67420.054102314083</v>
      </c>
    </row>
    <row r="110" spans="1:4" x14ac:dyDescent="0.35">
      <c r="A110" s="102"/>
      <c r="B110" s="100"/>
      <c r="C110" s="100"/>
      <c r="D110" s="101"/>
    </row>
  </sheetData>
  <pageMargins left="0.74803149606299213" right="0.74803149606299213" top="0.98425196850393704" bottom="0.98425196850393704" header="0.51181102362204722" footer="0.51181102362204722"/>
  <pageSetup paperSize="9" scale="75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"/>
  <sheetViews>
    <sheetView zoomScale="110" zoomScaleNormal="110" zoomScalePageLayoutView="80" workbookViewId="0">
      <selection activeCell="Q30" sqref="Q30"/>
    </sheetView>
  </sheetViews>
  <sheetFormatPr defaultColWidth="10.140625" defaultRowHeight="12.75" x14ac:dyDescent="0.2"/>
  <cols>
    <col min="1" max="1" width="52" style="1" bestFit="1" customWidth="1"/>
    <col min="2" max="13" width="10.28515625" style="1" customWidth="1"/>
    <col min="14" max="14" width="14.140625" style="1" hidden="1" customWidth="1"/>
    <col min="15" max="15" width="10.140625" style="1"/>
    <col min="16" max="16" width="21.85546875" style="1" bestFit="1" customWidth="1"/>
    <col min="17" max="16384" width="10.140625" style="1"/>
  </cols>
  <sheetData>
    <row r="1" spans="1:17" ht="34.5" customHeight="1" x14ac:dyDescent="0.55000000000000004">
      <c r="A1" s="43" t="s">
        <v>78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7" ht="34.5" customHeight="1" x14ac:dyDescent="0.35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7" ht="15.75" customHeight="1" x14ac:dyDescent="0.35">
      <c r="A3" s="81"/>
      <c r="B3" s="82">
        <v>1</v>
      </c>
      <c r="C3" s="82">
        <v>2</v>
      </c>
      <c r="D3" s="82">
        <v>3</v>
      </c>
      <c r="E3" s="82">
        <v>4</v>
      </c>
      <c r="F3" s="82">
        <v>5</v>
      </c>
      <c r="G3" s="82">
        <v>6</v>
      </c>
      <c r="H3" s="82">
        <v>7</v>
      </c>
      <c r="I3" s="82">
        <v>8</v>
      </c>
      <c r="J3" s="82">
        <v>9</v>
      </c>
      <c r="K3" s="82">
        <v>10</v>
      </c>
      <c r="L3" s="82">
        <v>11</v>
      </c>
      <c r="M3" s="94">
        <v>12</v>
      </c>
      <c r="P3" s="146" t="s">
        <v>60</v>
      </c>
      <c r="Q3" s="147"/>
    </row>
    <row r="4" spans="1:17" s="36" customFormat="1" ht="15.75" customHeight="1" x14ac:dyDescent="0.35">
      <c r="A4" s="50" t="s">
        <v>91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29"/>
      <c r="P4" s="148" t="s">
        <v>59</v>
      </c>
      <c r="Q4" s="149">
        <f>Financiering!D20</f>
        <v>75000</v>
      </c>
    </row>
    <row r="5" spans="1:17" ht="15.75" customHeight="1" x14ac:dyDescent="0.35">
      <c r="A5" s="11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1"/>
      <c r="P5" s="148" t="s">
        <v>58</v>
      </c>
      <c r="Q5" s="149">
        <f>Q4/Financiering!G20</f>
        <v>3750</v>
      </c>
    </row>
    <row r="6" spans="1:17" s="39" customFormat="1" ht="15.75" customHeight="1" x14ac:dyDescent="0.35">
      <c r="A6" s="117" t="str">
        <f>Exploitatie!A6</f>
        <v>Omzet</v>
      </c>
      <c r="B6" s="120">
        <f>Exploitatie!H7*1.21</f>
        <v>0</v>
      </c>
      <c r="C6" s="120">
        <f>Exploitatie!I7*1.21</f>
        <v>18000</v>
      </c>
      <c r="D6" s="120">
        <f>Exploitatie!J7*1.21</f>
        <v>24000</v>
      </c>
      <c r="E6" s="120">
        <f>Exploitatie!K7*1.21</f>
        <v>26999.999999999996</v>
      </c>
      <c r="F6" s="120">
        <f>Exploitatie!L7*1.21</f>
        <v>30000</v>
      </c>
      <c r="G6" s="120">
        <f>Exploitatie!M7*1.21</f>
        <v>33000</v>
      </c>
      <c r="H6" s="120">
        <f>Exploitatie!N7*1.21</f>
        <v>34500</v>
      </c>
      <c r="I6" s="120">
        <f>Exploitatie!O7*1.21</f>
        <v>36000</v>
      </c>
      <c r="J6" s="120">
        <f>Exploitatie!P7*1.21</f>
        <v>37500</v>
      </c>
      <c r="K6" s="120">
        <f>Exploitatie!Q7*1.21</f>
        <v>39000</v>
      </c>
      <c r="L6" s="120">
        <f>Exploitatie!R7*1.21</f>
        <v>40500.000000000007</v>
      </c>
      <c r="M6" s="121">
        <f>Exploitatie!S7*1.21</f>
        <v>41999.999999999993</v>
      </c>
      <c r="N6" s="29">
        <f t="shared" ref="N6:N39" si="0">SUM(B6:M6)</f>
        <v>361500</v>
      </c>
      <c r="P6" s="150" t="s">
        <v>57</v>
      </c>
      <c r="Q6" s="151">
        <f>Financiering!E20</f>
        <v>7.0000000000000007E-2</v>
      </c>
    </row>
    <row r="7" spans="1:17" ht="15.75" customHeight="1" x14ac:dyDescent="0.35">
      <c r="A7" s="117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1"/>
      <c r="N7" s="29">
        <f t="shared" si="0"/>
        <v>0</v>
      </c>
      <c r="P7" s="34"/>
      <c r="Q7" s="34"/>
    </row>
    <row r="8" spans="1:17" ht="15.75" customHeight="1" x14ac:dyDescent="0.35">
      <c r="A8" s="117" t="s">
        <v>21</v>
      </c>
      <c r="B8" s="120">
        <f>Financiering!B10</f>
        <v>30000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1">
        <v>0</v>
      </c>
      <c r="N8" s="29">
        <f t="shared" si="0"/>
        <v>30000</v>
      </c>
      <c r="P8" s="34"/>
      <c r="Q8" s="34"/>
    </row>
    <row r="9" spans="1:17" ht="15.75" customHeight="1" x14ac:dyDescent="0.35">
      <c r="A9" s="117" t="s">
        <v>77</v>
      </c>
      <c r="B9" s="120">
        <f>Financiering!B22</f>
        <v>75000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1">
        <v>0</v>
      </c>
      <c r="N9" s="29">
        <f t="shared" si="0"/>
        <v>75000</v>
      </c>
      <c r="P9" s="34"/>
      <c r="Q9" s="34"/>
    </row>
    <row r="10" spans="1:17" ht="15.75" customHeight="1" x14ac:dyDescent="0.35">
      <c r="A10" s="117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/>
      <c r="N10" s="29">
        <f t="shared" si="0"/>
        <v>0</v>
      </c>
      <c r="P10" s="34"/>
      <c r="Q10" s="34"/>
    </row>
    <row r="11" spans="1:17" s="36" customFormat="1" ht="15.75" customHeight="1" x14ac:dyDescent="0.35">
      <c r="A11" s="50" t="s">
        <v>76</v>
      </c>
      <c r="B11" s="122">
        <f t="shared" ref="B11:M11" si="1">SUM(B6:B10)</f>
        <v>105000</v>
      </c>
      <c r="C11" s="122">
        <f t="shared" si="1"/>
        <v>18000</v>
      </c>
      <c r="D11" s="122">
        <f t="shared" si="1"/>
        <v>24000</v>
      </c>
      <c r="E11" s="122">
        <f t="shared" si="1"/>
        <v>26999.999999999996</v>
      </c>
      <c r="F11" s="122">
        <f t="shared" si="1"/>
        <v>30000</v>
      </c>
      <c r="G11" s="122">
        <f t="shared" si="1"/>
        <v>33000</v>
      </c>
      <c r="H11" s="122">
        <f t="shared" si="1"/>
        <v>34500</v>
      </c>
      <c r="I11" s="122">
        <f t="shared" si="1"/>
        <v>36000</v>
      </c>
      <c r="J11" s="122">
        <f t="shared" si="1"/>
        <v>37500</v>
      </c>
      <c r="K11" s="122">
        <f t="shared" si="1"/>
        <v>39000</v>
      </c>
      <c r="L11" s="122">
        <f t="shared" si="1"/>
        <v>40500.000000000007</v>
      </c>
      <c r="M11" s="123">
        <f t="shared" si="1"/>
        <v>41999.999999999993</v>
      </c>
      <c r="N11" s="29">
        <f t="shared" si="0"/>
        <v>466500</v>
      </c>
      <c r="P11" s="37"/>
      <c r="Q11" s="37"/>
    </row>
    <row r="12" spans="1:17" ht="15.75" customHeight="1" x14ac:dyDescent="0.25">
      <c r="A12" s="31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30"/>
      <c r="N12" s="29">
        <f t="shared" si="0"/>
        <v>0</v>
      </c>
      <c r="P12" s="34"/>
      <c r="Q12" s="34"/>
    </row>
    <row r="13" spans="1:17" s="36" customFormat="1" ht="15.75" customHeight="1" x14ac:dyDescent="0.35">
      <c r="A13" s="50" t="s">
        <v>92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3"/>
      <c r="N13" s="29">
        <f t="shared" si="0"/>
        <v>0</v>
      </c>
      <c r="P13" s="37"/>
      <c r="Q13" s="37"/>
    </row>
    <row r="14" spans="1:17" ht="15.75" customHeight="1" x14ac:dyDescent="0.35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7"/>
      <c r="N14" s="29">
        <f t="shared" si="0"/>
        <v>0</v>
      </c>
      <c r="P14" s="34"/>
      <c r="Q14" s="34"/>
    </row>
    <row r="15" spans="1:17" ht="15.75" customHeight="1" x14ac:dyDescent="0.35">
      <c r="A15" s="128" t="s">
        <v>75</v>
      </c>
      <c r="B15" s="120">
        <f>Investering!B26-Investering!B22</f>
        <v>114950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1">
        <v>0</v>
      </c>
      <c r="N15" s="29">
        <f t="shared" si="0"/>
        <v>114950</v>
      </c>
      <c r="P15" s="34"/>
      <c r="Q15" s="34"/>
    </row>
    <row r="16" spans="1:17" ht="15.75" customHeight="1" x14ac:dyDescent="0.35">
      <c r="A16" s="117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1"/>
      <c r="N16" s="29">
        <f t="shared" si="0"/>
        <v>0</v>
      </c>
      <c r="P16" s="34"/>
      <c r="Q16" s="34"/>
    </row>
    <row r="17" spans="1:17" ht="15.75" customHeight="1" x14ac:dyDescent="0.35">
      <c r="A17" s="128" t="str">
        <f>Exploitatie!A12</f>
        <v xml:space="preserve">Inkoop </v>
      </c>
      <c r="B17" s="120">
        <f>Exploitatie!$E$12*B6</f>
        <v>0</v>
      </c>
      <c r="C17" s="120">
        <f>Exploitatie!$E$12*C6</f>
        <v>9000</v>
      </c>
      <c r="D17" s="120">
        <f>Exploitatie!$E$12*D6</f>
        <v>12000</v>
      </c>
      <c r="E17" s="120">
        <f>Exploitatie!$E$12*E6</f>
        <v>13499.999999999998</v>
      </c>
      <c r="F17" s="120">
        <f>Exploitatie!$E$12*F6</f>
        <v>15000</v>
      </c>
      <c r="G17" s="120">
        <f>Exploitatie!$E$12*G6</f>
        <v>16500</v>
      </c>
      <c r="H17" s="120">
        <f>Exploitatie!$E$12*H6</f>
        <v>17250</v>
      </c>
      <c r="I17" s="120">
        <f>Exploitatie!$E$12*I6</f>
        <v>18000</v>
      </c>
      <c r="J17" s="120">
        <f>Exploitatie!$E$12*J6</f>
        <v>18750</v>
      </c>
      <c r="K17" s="120">
        <f>Exploitatie!$E$12*K6</f>
        <v>19500</v>
      </c>
      <c r="L17" s="120">
        <f>Exploitatie!$E$12*L6</f>
        <v>20250.000000000004</v>
      </c>
      <c r="M17" s="121">
        <f>Exploitatie!$E$12*M6</f>
        <v>20999.999999999996</v>
      </c>
      <c r="N17" s="32" t="e">
        <f>Exploitatie!$E$12*('Liquiditeit Jaar 1'!#REF!+'Liquiditeit Jaar 1'!#REF!)</f>
        <v>#REF!</v>
      </c>
      <c r="P17" s="34"/>
      <c r="Q17" s="34"/>
    </row>
    <row r="18" spans="1:17" ht="15.75" customHeight="1" x14ac:dyDescent="0.35">
      <c r="A18" s="11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21"/>
      <c r="N18" s="29">
        <f t="shared" si="0"/>
        <v>0</v>
      </c>
      <c r="P18" s="34"/>
      <c r="Q18" s="34"/>
    </row>
    <row r="19" spans="1:17" ht="15.75" customHeight="1" x14ac:dyDescent="0.35">
      <c r="A19" s="128" t="s">
        <v>74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29"/>
      <c r="N19" s="29">
        <f t="shared" si="0"/>
        <v>0</v>
      </c>
      <c r="P19" s="34"/>
      <c r="Q19" s="34"/>
    </row>
    <row r="20" spans="1:17" ht="15.75" customHeight="1" x14ac:dyDescent="0.35">
      <c r="A20" s="117" t="str">
        <f>Exploitatie!A92</f>
        <v xml:space="preserve">Personeelskosten </v>
      </c>
      <c r="B20" s="118">
        <f>Exploitatie!$B$92/12</f>
        <v>6161.666666666667</v>
      </c>
      <c r="C20" s="118">
        <f>Exploitatie!$B$92/12</f>
        <v>6161.666666666667</v>
      </c>
      <c r="D20" s="118">
        <f>Exploitatie!$B$92/12</f>
        <v>6161.666666666667</v>
      </c>
      <c r="E20" s="118">
        <f>Exploitatie!$B$92/12</f>
        <v>6161.666666666667</v>
      </c>
      <c r="F20" s="118">
        <f>Exploitatie!$B$92/12</f>
        <v>6161.666666666667</v>
      </c>
      <c r="G20" s="118">
        <f>Exploitatie!$B$92/12</f>
        <v>6161.666666666667</v>
      </c>
      <c r="H20" s="118">
        <f>Exploitatie!$B$92/12</f>
        <v>6161.666666666667</v>
      </c>
      <c r="I20" s="118">
        <f>Exploitatie!$B$92/12</f>
        <v>6161.666666666667</v>
      </c>
      <c r="J20" s="118">
        <f>Exploitatie!$B$92/12</f>
        <v>6161.666666666667</v>
      </c>
      <c r="K20" s="118">
        <f>Exploitatie!$B$92/12</f>
        <v>6161.666666666667</v>
      </c>
      <c r="L20" s="118">
        <f>Exploitatie!$B$92/12</f>
        <v>6161.666666666667</v>
      </c>
      <c r="M20" s="121">
        <f>Exploitatie!$B$92/12</f>
        <v>6161.666666666667</v>
      </c>
      <c r="N20" s="29">
        <f t="shared" si="0"/>
        <v>73940</v>
      </c>
      <c r="P20" s="34"/>
      <c r="Q20" s="34"/>
    </row>
    <row r="21" spans="1:17" ht="15.75" customHeight="1" x14ac:dyDescent="0.35">
      <c r="A21" s="117" t="str">
        <f>Exploitatie!A93</f>
        <v>Inventaris- en kantoorkosten</v>
      </c>
      <c r="B21" s="118">
        <f>Exploitatie!$B$93/12*1.21</f>
        <v>786.5</v>
      </c>
      <c r="C21" s="118">
        <f>Exploitatie!$B$93/12*1.21</f>
        <v>786.5</v>
      </c>
      <c r="D21" s="118">
        <f>Exploitatie!$B$93/12*1.21</f>
        <v>786.5</v>
      </c>
      <c r="E21" s="118">
        <f>Exploitatie!$B$93/12*1.21</f>
        <v>786.5</v>
      </c>
      <c r="F21" s="118">
        <f>Exploitatie!$B$93/12*1.21</f>
        <v>786.5</v>
      </c>
      <c r="G21" s="118">
        <f>Exploitatie!$B$93/12*1.21</f>
        <v>786.5</v>
      </c>
      <c r="H21" s="118">
        <f>Exploitatie!$B$93/12*1.21</f>
        <v>786.5</v>
      </c>
      <c r="I21" s="118">
        <f>Exploitatie!$B$93/12*1.21</f>
        <v>786.5</v>
      </c>
      <c r="J21" s="118">
        <f>Exploitatie!$B$93/12*1.21</f>
        <v>786.5</v>
      </c>
      <c r="K21" s="118">
        <f>Exploitatie!$B$93/12*1.21</f>
        <v>786.5</v>
      </c>
      <c r="L21" s="118">
        <f>Exploitatie!$B$93/12*1.21</f>
        <v>786.5</v>
      </c>
      <c r="M21" s="121">
        <f>Exploitatie!$B$93/12*1.21</f>
        <v>786.5</v>
      </c>
      <c r="N21" s="29">
        <f t="shared" si="0"/>
        <v>9438</v>
      </c>
      <c r="P21" s="34"/>
      <c r="Q21" s="34"/>
    </row>
    <row r="22" spans="1:17" ht="15.75" customHeight="1" x14ac:dyDescent="0.35">
      <c r="A22" s="117" t="str">
        <f>Exploitatie!A94</f>
        <v>Huisvestingskosten</v>
      </c>
      <c r="B22" s="118">
        <f>Exploitatie!$B$94/12*1.21</f>
        <v>3085.5</v>
      </c>
      <c r="C22" s="118">
        <f>Exploitatie!$B$94/12*1.21</f>
        <v>3085.5</v>
      </c>
      <c r="D22" s="118">
        <f>Exploitatie!$B$94/12*1.21</f>
        <v>3085.5</v>
      </c>
      <c r="E22" s="118">
        <f>Exploitatie!$B$94/12*1.21</f>
        <v>3085.5</v>
      </c>
      <c r="F22" s="118">
        <f>Exploitatie!$B$94/12*1.21</f>
        <v>3085.5</v>
      </c>
      <c r="G22" s="118">
        <f>Exploitatie!$B$94/12*1.21</f>
        <v>3085.5</v>
      </c>
      <c r="H22" s="118">
        <f>Exploitatie!$B$94/12*1.21</f>
        <v>3085.5</v>
      </c>
      <c r="I22" s="118">
        <f>Exploitatie!$B$94/12*1.21</f>
        <v>3085.5</v>
      </c>
      <c r="J22" s="118">
        <f>Exploitatie!$B$94/12*1.21</f>
        <v>3085.5</v>
      </c>
      <c r="K22" s="118">
        <f>Exploitatie!$B$94/12*1.21</f>
        <v>3085.5</v>
      </c>
      <c r="L22" s="118">
        <f>Exploitatie!$B$94/12*1.21</f>
        <v>3085.5</v>
      </c>
      <c r="M22" s="121">
        <f>Exploitatie!$B$94/12*1.21</f>
        <v>3085.5</v>
      </c>
      <c r="N22" s="29">
        <f t="shared" si="0"/>
        <v>37026</v>
      </c>
      <c r="P22" s="34"/>
      <c r="Q22" s="34"/>
    </row>
    <row r="23" spans="1:17" ht="15.75" customHeight="1" x14ac:dyDescent="0.35">
      <c r="A23" s="117" t="str">
        <f>Exploitatie!A95</f>
        <v>Verkoopkosten</v>
      </c>
      <c r="B23" s="118">
        <f>Exploitatie!$B$95/12*1.21</f>
        <v>957.91666666666663</v>
      </c>
      <c r="C23" s="118">
        <f>Exploitatie!$B$95/12*1.21</f>
        <v>957.91666666666663</v>
      </c>
      <c r="D23" s="118">
        <f>Exploitatie!$B$95/12*1.21</f>
        <v>957.91666666666663</v>
      </c>
      <c r="E23" s="118">
        <f>Exploitatie!$B$95/12*1.21</f>
        <v>957.91666666666663</v>
      </c>
      <c r="F23" s="118">
        <f>Exploitatie!$B$95/12*1.21</f>
        <v>957.91666666666663</v>
      </c>
      <c r="G23" s="118">
        <f>Exploitatie!$B$95/12*1.21</f>
        <v>957.91666666666663</v>
      </c>
      <c r="H23" s="118">
        <f>Exploitatie!$B$95/12*1.21</f>
        <v>957.91666666666663</v>
      </c>
      <c r="I23" s="118">
        <f>Exploitatie!$B$95/12*1.21</f>
        <v>957.91666666666663</v>
      </c>
      <c r="J23" s="118">
        <f>Exploitatie!$B$95/12*1.21</f>
        <v>957.91666666666663</v>
      </c>
      <c r="K23" s="118">
        <f>Exploitatie!$B$95/12*1.21</f>
        <v>957.91666666666663</v>
      </c>
      <c r="L23" s="118">
        <f>Exploitatie!$B$95/12*1.21</f>
        <v>957.91666666666663</v>
      </c>
      <c r="M23" s="121">
        <f>Exploitatie!$B$95/12*1.21</f>
        <v>957.91666666666663</v>
      </c>
      <c r="N23" s="29">
        <f t="shared" si="0"/>
        <v>11494.999999999998</v>
      </c>
      <c r="P23" s="34"/>
      <c r="Q23" s="34"/>
    </row>
    <row r="24" spans="1:17" ht="15.75" customHeight="1" x14ac:dyDescent="0.35">
      <c r="A24" s="117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21"/>
      <c r="N24" s="29">
        <f t="shared" si="0"/>
        <v>0</v>
      </c>
      <c r="P24" s="34"/>
      <c r="Q24" s="34"/>
    </row>
    <row r="25" spans="1:17" ht="15.75" customHeight="1" x14ac:dyDescent="0.35">
      <c r="A25" s="128" t="s">
        <v>73</v>
      </c>
      <c r="B25" s="118"/>
      <c r="C25" s="118"/>
      <c r="D25" s="118"/>
      <c r="E25" s="131"/>
      <c r="F25" s="118"/>
      <c r="G25" s="118"/>
      <c r="H25" s="118"/>
      <c r="I25" s="118"/>
      <c r="J25" s="118"/>
      <c r="K25" s="118"/>
      <c r="L25" s="118"/>
      <c r="M25" s="121"/>
      <c r="N25" s="29">
        <f t="shared" si="0"/>
        <v>0</v>
      </c>
      <c r="P25" s="33"/>
    </row>
    <row r="26" spans="1:17" ht="15.75" customHeight="1" x14ac:dyDescent="0.35">
      <c r="A26" s="117" t="s">
        <v>72</v>
      </c>
      <c r="B26" s="118">
        <v>0</v>
      </c>
      <c r="C26" s="118">
        <v>0</v>
      </c>
      <c r="D26" s="118">
        <f>Q5</f>
        <v>3750</v>
      </c>
      <c r="E26" s="118">
        <v>0</v>
      </c>
      <c r="F26" s="118">
        <v>0</v>
      </c>
      <c r="G26" s="118">
        <f>Q5</f>
        <v>3750</v>
      </c>
      <c r="H26" s="118">
        <v>0</v>
      </c>
      <c r="I26" s="118">
        <v>0</v>
      </c>
      <c r="J26" s="118">
        <f>Q5</f>
        <v>3750</v>
      </c>
      <c r="K26" s="118">
        <v>0</v>
      </c>
      <c r="L26" s="118">
        <v>0</v>
      </c>
      <c r="M26" s="121">
        <f>Q5</f>
        <v>3750</v>
      </c>
      <c r="N26" s="29">
        <f t="shared" si="0"/>
        <v>15000</v>
      </c>
    </row>
    <row r="27" spans="1:17" ht="15.75" customHeight="1" x14ac:dyDescent="0.35">
      <c r="A27" s="117" t="s">
        <v>71</v>
      </c>
      <c r="B27" s="118">
        <f>(($Q4-0*$Q5)*$Q6)/12</f>
        <v>437.50000000000006</v>
      </c>
      <c r="C27" s="118">
        <f>(($Q4-0*$Q5)*$Q6)/12</f>
        <v>437.50000000000006</v>
      </c>
      <c r="D27" s="118">
        <f>(($Q4-0*$Q5)*$Q6)/12</f>
        <v>437.50000000000006</v>
      </c>
      <c r="E27" s="118">
        <f>(($Q4-1*$Q5)*$Q6)/12</f>
        <v>415.62500000000006</v>
      </c>
      <c r="F27" s="118">
        <f>(($Q4-1*$Q5)*$Q6)/12</f>
        <v>415.62500000000006</v>
      </c>
      <c r="G27" s="118">
        <f>(($Q4-1*$Q5)*$Q6)/12</f>
        <v>415.62500000000006</v>
      </c>
      <c r="H27" s="118">
        <f>(($Q4-2*$Q5)*$Q6)/12</f>
        <v>393.75</v>
      </c>
      <c r="I27" s="118">
        <f>(($Q4-2*$Q5)*$Q6)/12</f>
        <v>393.75</v>
      </c>
      <c r="J27" s="118">
        <f>(($Q4-2*$Q5)*$Q6)/12</f>
        <v>393.75</v>
      </c>
      <c r="K27" s="118">
        <f>(($Q4-3*$Q5)*$Q6)/12</f>
        <v>371.875</v>
      </c>
      <c r="L27" s="118">
        <f>(($Q4-3*$Q5)*$Q6)/12</f>
        <v>371.875</v>
      </c>
      <c r="M27" s="121">
        <f>(($Q4-3*$Q5)*$Q6)/12</f>
        <v>371.875</v>
      </c>
      <c r="N27" s="29">
        <f t="shared" si="0"/>
        <v>4856.25</v>
      </c>
    </row>
    <row r="28" spans="1:17" ht="15.75" customHeight="1" x14ac:dyDescent="0.35">
      <c r="A28" s="117" t="s">
        <v>70</v>
      </c>
      <c r="B28" s="120">
        <f>Financiering!$D$14*Financiering!$E$14/12</f>
        <v>200</v>
      </c>
      <c r="C28" s="120">
        <f>Financiering!$D$14*Financiering!$E$14/12</f>
        <v>200</v>
      </c>
      <c r="D28" s="120">
        <f>Financiering!$D$14*Financiering!$E$14/12</f>
        <v>200</v>
      </c>
      <c r="E28" s="120">
        <f>Financiering!$D$14*Financiering!$E$14/12</f>
        <v>200</v>
      </c>
      <c r="F28" s="120">
        <f>Financiering!$D$14*Financiering!$E$14/12</f>
        <v>200</v>
      </c>
      <c r="G28" s="120">
        <f>Financiering!$D$14*Financiering!$E$14/12</f>
        <v>200</v>
      </c>
      <c r="H28" s="120">
        <f>Financiering!$D$14*Financiering!$E$14/12</f>
        <v>200</v>
      </c>
      <c r="I28" s="120">
        <f>Financiering!$D$14*Financiering!$E$14/12</f>
        <v>200</v>
      </c>
      <c r="J28" s="120">
        <f>Financiering!$D$14*Financiering!$E$14/12</f>
        <v>200</v>
      </c>
      <c r="K28" s="120">
        <f>Financiering!$D$14*Financiering!$E$14/12</f>
        <v>200</v>
      </c>
      <c r="L28" s="120">
        <f>Financiering!$D$14*Financiering!$E$14/12</f>
        <v>200</v>
      </c>
      <c r="M28" s="121">
        <f>Financiering!$D$14*Financiering!$E$14/12</f>
        <v>200</v>
      </c>
      <c r="N28" s="29">
        <f t="shared" si="0"/>
        <v>2400</v>
      </c>
    </row>
    <row r="29" spans="1:17" ht="15.75" customHeight="1" x14ac:dyDescent="0.35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21"/>
      <c r="N29" s="29">
        <f t="shared" si="0"/>
        <v>0</v>
      </c>
    </row>
    <row r="30" spans="1:17" ht="15.75" customHeight="1" x14ac:dyDescent="0.35">
      <c r="A30" s="128" t="s">
        <v>69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21"/>
      <c r="N30" s="29">
        <f t="shared" si="0"/>
        <v>0</v>
      </c>
    </row>
    <row r="31" spans="1:17" ht="15.75" customHeight="1" x14ac:dyDescent="0.35">
      <c r="A31" s="117" t="str">
        <f>Exploitatie!A67</f>
        <v>Vennootschapsbelasting</v>
      </c>
      <c r="B31" s="118">
        <f>Exploitatie!$B$67/12</f>
        <v>70.995325413223142</v>
      </c>
      <c r="C31" s="118">
        <f>Exploitatie!$B$67/12</f>
        <v>70.995325413223142</v>
      </c>
      <c r="D31" s="118">
        <f>Exploitatie!$B$67/12</f>
        <v>70.995325413223142</v>
      </c>
      <c r="E31" s="118">
        <f>Exploitatie!$B$67/12</f>
        <v>70.995325413223142</v>
      </c>
      <c r="F31" s="118">
        <f>Exploitatie!$B$67/12</f>
        <v>70.995325413223142</v>
      </c>
      <c r="G31" s="118">
        <f>Exploitatie!$B$67/12</f>
        <v>70.995325413223142</v>
      </c>
      <c r="H31" s="118">
        <f>Exploitatie!$B$67/12</f>
        <v>70.995325413223142</v>
      </c>
      <c r="I31" s="118">
        <f>Exploitatie!$B$67/12</f>
        <v>70.995325413223142</v>
      </c>
      <c r="J31" s="118">
        <f>Exploitatie!$B$67/12</f>
        <v>70.995325413223142</v>
      </c>
      <c r="K31" s="118">
        <f>Exploitatie!$B$67/12</f>
        <v>70.995325413223142</v>
      </c>
      <c r="L31" s="118">
        <f>Exploitatie!$B$67/12</f>
        <v>70.995325413223142</v>
      </c>
      <c r="M31" s="121">
        <f>Exploitatie!$B$67/12</f>
        <v>70.995325413223142</v>
      </c>
      <c r="N31" s="29">
        <f t="shared" si="0"/>
        <v>851.94390495867754</v>
      </c>
    </row>
    <row r="32" spans="1:17" ht="15.75" customHeight="1" x14ac:dyDescent="0.35">
      <c r="A32" s="117" t="s">
        <v>68</v>
      </c>
      <c r="B32" s="118">
        <v>0</v>
      </c>
      <c r="C32" s="118">
        <v>0</v>
      </c>
      <c r="D32" s="118">
        <v>0</v>
      </c>
      <c r="E32" s="118">
        <f>SUM(B44:D44)</f>
        <v>-18820.119839575</v>
      </c>
      <c r="F32" s="118">
        <v>0</v>
      </c>
      <c r="G32" s="118">
        <v>0</v>
      </c>
      <c r="H32" s="118">
        <f>SUM(E44:G44)</f>
        <v>5295.1667754249984</v>
      </c>
      <c r="I32" s="118">
        <v>0</v>
      </c>
      <c r="J32" s="118">
        <v>0</v>
      </c>
      <c r="K32" s="118">
        <f>SUM(H44:J44)</f>
        <v>6857.1500754249992</v>
      </c>
      <c r="L32" s="118">
        <v>0</v>
      </c>
      <c r="M32" s="121">
        <v>0</v>
      </c>
      <c r="N32" s="29">
        <f t="shared" si="0"/>
        <v>-6667.8029887250032</v>
      </c>
    </row>
    <row r="33" spans="1:14" ht="15.75" customHeight="1" x14ac:dyDescent="0.25">
      <c r="A33" s="31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30"/>
      <c r="N33" s="29">
        <f t="shared" si="0"/>
        <v>0</v>
      </c>
    </row>
    <row r="34" spans="1:14" ht="15.75" customHeight="1" x14ac:dyDescent="0.35">
      <c r="A34" s="50" t="s">
        <v>67</v>
      </c>
      <c r="B34" s="122">
        <f>SUM(B15:B33)</f>
        <v>126650.07865874657</v>
      </c>
      <c r="C34" s="122">
        <f>SUM(C15:C33)</f>
        <v>20700.078658746559</v>
      </c>
      <c r="D34" s="122">
        <f>SUM(D15:D33)</f>
        <v>27450.078658746559</v>
      </c>
      <c r="E34" s="122">
        <f>SUM(E15:E33)</f>
        <v>6358.0838191715557</v>
      </c>
      <c r="F34" s="122">
        <f>SUM(F15:F33)</f>
        <v>26678.203658746559</v>
      </c>
      <c r="G34" s="122">
        <f>SUM(G15:G33)</f>
        <v>31928.203658746559</v>
      </c>
      <c r="H34" s="122">
        <f>SUM(H15:H33)</f>
        <v>34201.495434171557</v>
      </c>
      <c r="I34" s="122">
        <f>SUM(I15:I33)</f>
        <v>29656.328658746559</v>
      </c>
      <c r="J34" s="122">
        <f>SUM(J15:J33)</f>
        <v>34156.328658746555</v>
      </c>
      <c r="K34" s="122">
        <f>SUM(K15:K33)</f>
        <v>37991.603734171556</v>
      </c>
      <c r="L34" s="122">
        <f>SUM(L15:L33)</f>
        <v>31884.453658746563</v>
      </c>
      <c r="M34" s="123">
        <f>SUM(M15:M33)</f>
        <v>36384.453658746548</v>
      </c>
      <c r="N34" s="29">
        <f t="shared" si="0"/>
        <v>444039.39091623371</v>
      </c>
    </row>
    <row r="35" spans="1:14" ht="15.75" customHeight="1" x14ac:dyDescent="0.35">
      <c r="A35" s="132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4"/>
      <c r="N35" s="29">
        <f t="shared" si="0"/>
        <v>0</v>
      </c>
    </row>
    <row r="36" spans="1:14" ht="15.75" customHeight="1" x14ac:dyDescent="0.35">
      <c r="A36" s="117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35"/>
      <c r="N36" s="29">
        <f t="shared" si="0"/>
        <v>0</v>
      </c>
    </row>
    <row r="37" spans="1:14" ht="15.75" customHeight="1" x14ac:dyDescent="0.35">
      <c r="A37" s="136" t="s">
        <v>66</v>
      </c>
      <c r="B37" s="137">
        <v>0</v>
      </c>
      <c r="C37" s="137">
        <f t="shared" ref="C37:M37" si="2">B39</f>
        <v>-21650.07865874657</v>
      </c>
      <c r="D37" s="137">
        <f t="shared" si="2"/>
        <v>-24350.157317493129</v>
      </c>
      <c r="E37" s="137">
        <f t="shared" si="2"/>
        <v>-27800.235976239688</v>
      </c>
      <c r="F37" s="137">
        <f t="shared" si="2"/>
        <v>-7158.3197954112475</v>
      </c>
      <c r="G37" s="137">
        <f t="shared" si="2"/>
        <v>-3836.5234541578066</v>
      </c>
      <c r="H37" s="137">
        <f t="shared" si="2"/>
        <v>-2764.7271129043656</v>
      </c>
      <c r="I37" s="137">
        <f t="shared" si="2"/>
        <v>-2466.2225470759222</v>
      </c>
      <c r="J37" s="137">
        <f t="shared" si="2"/>
        <v>3877.4487941775187</v>
      </c>
      <c r="K37" s="137">
        <f t="shared" si="2"/>
        <v>7221.1201354309633</v>
      </c>
      <c r="L37" s="137">
        <f t="shared" si="2"/>
        <v>8229.5164012594068</v>
      </c>
      <c r="M37" s="121">
        <f t="shared" si="2"/>
        <v>16845.062742512851</v>
      </c>
      <c r="N37" s="29">
        <f t="shared" si="0"/>
        <v>-53853.116788648011</v>
      </c>
    </row>
    <row r="38" spans="1:14" ht="15.75" customHeight="1" x14ac:dyDescent="0.35">
      <c r="A38" s="138" t="s">
        <v>65</v>
      </c>
      <c r="B38" s="139">
        <f>B11-B34</f>
        <v>-21650.07865874657</v>
      </c>
      <c r="C38" s="139">
        <f>C11-C34</f>
        <v>-2700.0786587465591</v>
      </c>
      <c r="D38" s="139">
        <f>D11-D34</f>
        <v>-3450.0786587465591</v>
      </c>
      <c r="E38" s="139">
        <f>E11-E34</f>
        <v>20641.916180828441</v>
      </c>
      <c r="F38" s="139">
        <f>F11-F34</f>
        <v>3321.7963412534409</v>
      </c>
      <c r="G38" s="139">
        <f>G11-G34</f>
        <v>1071.7963412534409</v>
      </c>
      <c r="H38" s="139">
        <f>H11-H34</f>
        <v>298.50456582844345</v>
      </c>
      <c r="I38" s="139">
        <f>I11-I34</f>
        <v>6343.6713412534409</v>
      </c>
      <c r="J38" s="139">
        <f>J11-J34</f>
        <v>3343.6713412534446</v>
      </c>
      <c r="K38" s="139">
        <f>K11-K34</f>
        <v>1008.3962658284436</v>
      </c>
      <c r="L38" s="139">
        <f>L11-L34</f>
        <v>8615.5463412534446</v>
      </c>
      <c r="M38" s="140">
        <f>M11-M34</f>
        <v>5615.5463412534446</v>
      </c>
      <c r="N38" s="29">
        <f t="shared" si="0"/>
        <v>22460.609083766296</v>
      </c>
    </row>
    <row r="39" spans="1:14" ht="15.75" customHeight="1" x14ac:dyDescent="0.35">
      <c r="A39" s="141" t="s">
        <v>64</v>
      </c>
      <c r="B39" s="142">
        <f t="shared" ref="B39:M39" si="3">B37+B38</f>
        <v>-21650.07865874657</v>
      </c>
      <c r="C39" s="142">
        <f t="shared" si="3"/>
        <v>-24350.157317493129</v>
      </c>
      <c r="D39" s="142">
        <f t="shared" si="3"/>
        <v>-27800.235976239688</v>
      </c>
      <c r="E39" s="142">
        <f t="shared" si="3"/>
        <v>-7158.3197954112475</v>
      </c>
      <c r="F39" s="142">
        <f t="shared" si="3"/>
        <v>-3836.5234541578066</v>
      </c>
      <c r="G39" s="142">
        <f t="shared" si="3"/>
        <v>-2764.7271129043656</v>
      </c>
      <c r="H39" s="142">
        <f t="shared" si="3"/>
        <v>-2466.2225470759222</v>
      </c>
      <c r="I39" s="142">
        <f t="shared" si="3"/>
        <v>3877.4487941775187</v>
      </c>
      <c r="J39" s="142">
        <f t="shared" si="3"/>
        <v>7221.1201354309633</v>
      </c>
      <c r="K39" s="142">
        <f t="shared" si="3"/>
        <v>8229.5164012594068</v>
      </c>
      <c r="L39" s="142">
        <f t="shared" si="3"/>
        <v>16845.062742512851</v>
      </c>
      <c r="M39" s="143">
        <f t="shared" si="3"/>
        <v>22460.609083766296</v>
      </c>
      <c r="N39" s="29">
        <f t="shared" si="0"/>
        <v>-31392.507704881715</v>
      </c>
    </row>
    <row r="40" spans="1:14" ht="15.75" customHeight="1" x14ac:dyDescent="0.35">
      <c r="A40" s="45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</row>
    <row r="41" spans="1:14" ht="15.75" customHeight="1" thickBot="1" x14ac:dyDescent="0.4">
      <c r="A41" s="45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4" ht="15.75" customHeight="1" x14ac:dyDescent="0.35">
      <c r="A42" s="136" t="s">
        <v>63</v>
      </c>
      <c r="B42" s="137">
        <f>(B6)*0.1735537</f>
        <v>0</v>
      </c>
      <c r="C42" s="137">
        <f>(C6)*0.1735537</f>
        <v>3123.9666000000002</v>
      </c>
      <c r="D42" s="137">
        <f>(D6)*0.1735537</f>
        <v>4165.2888000000003</v>
      </c>
      <c r="E42" s="137">
        <f>(E6)*0.1735537</f>
        <v>4685.9498999999996</v>
      </c>
      <c r="F42" s="137">
        <f>(F6)*0.1735537</f>
        <v>5206.6109999999999</v>
      </c>
      <c r="G42" s="137">
        <f>(G6)*0.1735537</f>
        <v>5727.2721000000001</v>
      </c>
      <c r="H42" s="137">
        <f>(H6)*0.1735537</f>
        <v>5987.6026499999998</v>
      </c>
      <c r="I42" s="137">
        <f>(I6)*0.1735537</f>
        <v>6247.9332000000004</v>
      </c>
      <c r="J42" s="137">
        <f>(J6)*0.1735537</f>
        <v>6508.2637500000001</v>
      </c>
      <c r="K42" s="137">
        <f>(K6)*0.1735537</f>
        <v>6768.5942999999997</v>
      </c>
      <c r="L42" s="137">
        <f>(L6)*0.1735537</f>
        <v>7028.9248500000012</v>
      </c>
      <c r="M42" s="144">
        <f>(M6)*0.1735537</f>
        <v>7289.2553999999991</v>
      </c>
      <c r="N42" s="27" t="e">
        <f>(N6+#REF!+#REF!)*0.1735537</f>
        <v>#REF!</v>
      </c>
    </row>
    <row r="43" spans="1:14" ht="15.75" customHeight="1" x14ac:dyDescent="0.35">
      <c r="A43" s="138" t="s">
        <v>62</v>
      </c>
      <c r="B43" s="145">
        <f>(B15+B17+B21+B22+B23)*0.1735537</f>
        <v>20788.247723191667</v>
      </c>
      <c r="C43" s="145">
        <f>(C15+C17+C21+C22+C23)*0.1735537</f>
        <v>2400.2332081916666</v>
      </c>
      <c r="D43" s="145">
        <f>(D15+D17+D21+D22+D23)*0.1735537</f>
        <v>2920.8943081916668</v>
      </c>
      <c r="E43" s="145">
        <f>(E15+E17+E21+E22+E23)*0.1735537</f>
        <v>3181.224858191667</v>
      </c>
      <c r="F43" s="145">
        <f>(F15+F17+F21+F22+F23)*0.1735537</f>
        <v>3441.5554081916671</v>
      </c>
      <c r="G43" s="145">
        <f>(G15+G17+G21+G22+G23)*0.1735537</f>
        <v>3701.8859581916672</v>
      </c>
      <c r="H43" s="145">
        <f>(H15+H17+H21+H22+H23)*0.1735537</f>
        <v>3832.0512331916671</v>
      </c>
      <c r="I43" s="145">
        <f>(I15+I17+I21+I22+I23)*0.1735537</f>
        <v>3962.2165081916669</v>
      </c>
      <c r="J43" s="145">
        <f>(J15+J17+J21+J22+J23)*0.1735537</f>
        <v>4092.3817831916672</v>
      </c>
      <c r="K43" s="145">
        <f>(K15+K17+K21+K22+K23)*0.1735537</f>
        <v>4222.547058191667</v>
      </c>
      <c r="L43" s="145">
        <f>(L15+L17+L21+L22+L23)*0.1735537</f>
        <v>4352.7123331916673</v>
      </c>
      <c r="M43" s="140">
        <f>(M15+M17+M21+M22+M23)*0.1735537</f>
        <v>4482.8776081916667</v>
      </c>
      <c r="N43" s="26" t="e">
        <f>(N15+N17+#REF!+N21+N22+N23)*0.1735537</f>
        <v>#REF!</v>
      </c>
    </row>
    <row r="44" spans="1:14" ht="15.75" customHeight="1" x14ac:dyDescent="0.35">
      <c r="A44" s="141" t="s">
        <v>61</v>
      </c>
      <c r="B44" s="142">
        <f t="shared" ref="B44:M44" si="4">B42-B43</f>
        <v>-20788.247723191667</v>
      </c>
      <c r="C44" s="142">
        <f t="shared" si="4"/>
        <v>723.73339180833364</v>
      </c>
      <c r="D44" s="142">
        <f t="shared" si="4"/>
        <v>1244.3944918083334</v>
      </c>
      <c r="E44" s="142">
        <f t="shared" si="4"/>
        <v>1504.7250418083327</v>
      </c>
      <c r="F44" s="142">
        <f t="shared" si="4"/>
        <v>1765.0555918083328</v>
      </c>
      <c r="G44" s="142">
        <f t="shared" si="4"/>
        <v>2025.3861418083329</v>
      </c>
      <c r="H44" s="142">
        <f t="shared" si="4"/>
        <v>2155.5514168083328</v>
      </c>
      <c r="I44" s="142">
        <f t="shared" si="4"/>
        <v>2285.7166918083335</v>
      </c>
      <c r="J44" s="142">
        <f t="shared" si="4"/>
        <v>2415.8819668083329</v>
      </c>
      <c r="K44" s="142">
        <f t="shared" si="4"/>
        <v>2546.0472418083327</v>
      </c>
      <c r="L44" s="142">
        <f t="shared" si="4"/>
        <v>2676.2125168083339</v>
      </c>
      <c r="M44" s="143">
        <f t="shared" si="4"/>
        <v>2806.3777918083324</v>
      </c>
    </row>
    <row r="45" spans="1:14" ht="15" x14ac:dyDescent="0.25">
      <c r="A45" s="3"/>
      <c r="B45" s="3"/>
      <c r="C45" s="3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51" spans="1:6" x14ac:dyDescent="0.2">
      <c r="A51" s="24"/>
      <c r="E51" s="23"/>
      <c r="F51" s="23"/>
    </row>
    <row r="60" spans="1:6" x14ac:dyDescent="0.2">
      <c r="D60" s="23"/>
      <c r="E60" s="23"/>
      <c r="F60" s="23"/>
    </row>
    <row r="65" spans="4:6" x14ac:dyDescent="0.2">
      <c r="D65" s="23"/>
      <c r="E65" s="23"/>
      <c r="F65" s="23"/>
    </row>
    <row r="93" spans="4:5" ht="15.75" x14ac:dyDescent="0.25">
      <c r="D93" s="22"/>
      <c r="E93" s="21"/>
    </row>
    <row r="100" spans="4:6" x14ac:dyDescent="0.2">
      <c r="D100" s="20"/>
      <c r="E100" s="20"/>
      <c r="F100" s="20"/>
    </row>
  </sheetData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0"/>
  <sheetViews>
    <sheetView zoomScale="110" zoomScaleNormal="110" zoomScalePageLayoutView="80" workbookViewId="0">
      <selection activeCell="Q28" sqref="Q28"/>
    </sheetView>
  </sheetViews>
  <sheetFormatPr defaultColWidth="10.140625" defaultRowHeight="12.75" x14ac:dyDescent="0.2"/>
  <cols>
    <col min="1" max="1" width="52" style="1" bestFit="1" customWidth="1"/>
    <col min="2" max="13" width="10.28515625" style="1" customWidth="1"/>
    <col min="14" max="14" width="14.140625" style="1" hidden="1" customWidth="1"/>
    <col min="15" max="15" width="10.140625" style="1"/>
    <col min="16" max="16" width="21.85546875" style="1" bestFit="1" customWidth="1"/>
    <col min="17" max="16384" width="10.140625" style="1"/>
  </cols>
  <sheetData>
    <row r="1" spans="1:17" ht="34.5" customHeight="1" x14ac:dyDescent="0.55000000000000004">
      <c r="A1" s="43" t="s">
        <v>79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7" ht="34.5" customHeight="1" x14ac:dyDescent="0.35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7" ht="15.75" customHeight="1" x14ac:dyDescent="0.35">
      <c r="A3" s="81"/>
      <c r="B3" s="82">
        <v>1</v>
      </c>
      <c r="C3" s="82">
        <v>2</v>
      </c>
      <c r="D3" s="82">
        <v>3</v>
      </c>
      <c r="E3" s="82">
        <v>4</v>
      </c>
      <c r="F3" s="82">
        <v>5</v>
      </c>
      <c r="G3" s="82">
        <v>6</v>
      </c>
      <c r="H3" s="82">
        <v>7</v>
      </c>
      <c r="I3" s="82">
        <v>8</v>
      </c>
      <c r="J3" s="82">
        <v>9</v>
      </c>
      <c r="K3" s="82">
        <v>10</v>
      </c>
      <c r="L3" s="82">
        <v>11</v>
      </c>
      <c r="M3" s="94">
        <v>12</v>
      </c>
      <c r="P3" s="146" t="s">
        <v>60</v>
      </c>
      <c r="Q3" s="147"/>
    </row>
    <row r="4" spans="1:17" s="36" customFormat="1" ht="15.75" customHeight="1" x14ac:dyDescent="0.35">
      <c r="A4" s="50" t="s">
        <v>91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29"/>
      <c r="P4" s="148" t="s">
        <v>59</v>
      </c>
      <c r="Q4" s="149">
        <f>'Liquiditeit Jaar 1'!Q4</f>
        <v>75000</v>
      </c>
    </row>
    <row r="5" spans="1:17" ht="15.75" customHeight="1" x14ac:dyDescent="0.35">
      <c r="A5" s="11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1"/>
      <c r="P5" s="148" t="s">
        <v>58</v>
      </c>
      <c r="Q5" s="149">
        <f>'Liquiditeit Jaar 1'!Q5</f>
        <v>3750</v>
      </c>
    </row>
    <row r="6" spans="1:17" s="39" customFormat="1" ht="15.75" customHeight="1" x14ac:dyDescent="0.35">
      <c r="A6" s="117" t="str">
        <f>Exploitatie!A6</f>
        <v>Omzet</v>
      </c>
      <c r="B6" s="120">
        <f>Exploitatie!H13*1.21</f>
        <v>42840</v>
      </c>
      <c r="C6" s="120">
        <f>Exploitatie!I13*1.21</f>
        <v>42840</v>
      </c>
      <c r="D6" s="120">
        <f>Exploitatie!J13*1.21</f>
        <v>42840</v>
      </c>
      <c r="E6" s="120">
        <f>Exploitatie!K13*1.21</f>
        <v>42840</v>
      </c>
      <c r="F6" s="120">
        <f>Exploitatie!L13*1.21</f>
        <v>42840</v>
      </c>
      <c r="G6" s="120">
        <f>Exploitatie!M13*1.21</f>
        <v>42840</v>
      </c>
      <c r="H6" s="120">
        <f>Exploitatie!N13*1.21</f>
        <v>45900</v>
      </c>
      <c r="I6" s="120">
        <f>Exploitatie!O13*1.21</f>
        <v>45900</v>
      </c>
      <c r="J6" s="120">
        <f>Exploitatie!P13*1.21</f>
        <v>45900</v>
      </c>
      <c r="K6" s="120">
        <f>Exploitatie!Q13*1.21</f>
        <v>45900</v>
      </c>
      <c r="L6" s="120">
        <f>Exploitatie!R13*1.21</f>
        <v>45900</v>
      </c>
      <c r="M6" s="121">
        <f>Exploitatie!S13*1.21</f>
        <v>45900</v>
      </c>
      <c r="N6" s="29">
        <f t="shared" ref="N6:N39" si="0">SUM(B6:M6)</f>
        <v>532440</v>
      </c>
      <c r="P6" s="150" t="s">
        <v>57</v>
      </c>
      <c r="Q6" s="151">
        <f>'Liquiditeit Jaar 1'!Q6</f>
        <v>7.0000000000000007E-2</v>
      </c>
    </row>
    <row r="7" spans="1:17" ht="15.75" customHeight="1" x14ac:dyDescent="0.35">
      <c r="A7" s="117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1"/>
      <c r="N7" s="29">
        <f t="shared" si="0"/>
        <v>0</v>
      </c>
      <c r="P7" s="38"/>
      <c r="Q7" s="34"/>
    </row>
    <row r="8" spans="1:17" ht="15.75" customHeight="1" x14ac:dyDescent="0.35">
      <c r="A8" s="117" t="s">
        <v>21</v>
      </c>
      <c r="B8" s="120">
        <v>0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1">
        <v>0</v>
      </c>
      <c r="N8" s="29">
        <f t="shared" si="0"/>
        <v>0</v>
      </c>
      <c r="P8" s="38"/>
      <c r="Q8" s="34"/>
    </row>
    <row r="9" spans="1:17" ht="15.75" customHeight="1" x14ac:dyDescent="0.35">
      <c r="A9" s="117" t="s">
        <v>77</v>
      </c>
      <c r="B9" s="120">
        <v>0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1">
        <v>0</v>
      </c>
      <c r="N9" s="29">
        <f t="shared" si="0"/>
        <v>0</v>
      </c>
      <c r="P9" s="38"/>
      <c r="Q9" s="34"/>
    </row>
    <row r="10" spans="1:17" ht="15.75" customHeight="1" x14ac:dyDescent="0.35">
      <c r="A10" s="117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/>
      <c r="N10" s="29">
        <f t="shared" si="0"/>
        <v>0</v>
      </c>
      <c r="P10" s="34"/>
      <c r="Q10" s="34"/>
    </row>
    <row r="11" spans="1:17" s="36" customFormat="1" ht="15.75" customHeight="1" x14ac:dyDescent="0.35">
      <c r="A11" s="50" t="s">
        <v>76</v>
      </c>
      <c r="B11" s="122">
        <f t="shared" ref="B11:M11" si="1">SUM(B6:B9)</f>
        <v>42840</v>
      </c>
      <c r="C11" s="122">
        <f t="shared" si="1"/>
        <v>42840</v>
      </c>
      <c r="D11" s="122">
        <f t="shared" si="1"/>
        <v>42840</v>
      </c>
      <c r="E11" s="122">
        <f t="shared" si="1"/>
        <v>42840</v>
      </c>
      <c r="F11" s="122">
        <f t="shared" si="1"/>
        <v>42840</v>
      </c>
      <c r="G11" s="122">
        <f t="shared" si="1"/>
        <v>42840</v>
      </c>
      <c r="H11" s="122">
        <f t="shared" si="1"/>
        <v>45900</v>
      </c>
      <c r="I11" s="122">
        <f t="shared" si="1"/>
        <v>45900</v>
      </c>
      <c r="J11" s="122">
        <f t="shared" si="1"/>
        <v>45900</v>
      </c>
      <c r="K11" s="122">
        <f t="shared" si="1"/>
        <v>45900</v>
      </c>
      <c r="L11" s="122">
        <f t="shared" si="1"/>
        <v>45900</v>
      </c>
      <c r="M11" s="123">
        <f t="shared" si="1"/>
        <v>45900</v>
      </c>
      <c r="N11" s="29">
        <f t="shared" si="0"/>
        <v>532440</v>
      </c>
      <c r="P11" s="37"/>
      <c r="Q11" s="37"/>
    </row>
    <row r="12" spans="1:17" ht="15.75" customHeight="1" x14ac:dyDescent="0.25">
      <c r="A12" s="31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30"/>
      <c r="N12" s="29">
        <f t="shared" si="0"/>
        <v>0</v>
      </c>
      <c r="P12" s="34"/>
      <c r="Q12" s="34"/>
    </row>
    <row r="13" spans="1:17" s="36" customFormat="1" ht="15.75" customHeight="1" x14ac:dyDescent="0.35">
      <c r="A13" s="50" t="s">
        <v>92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3"/>
      <c r="N13" s="29">
        <f t="shared" si="0"/>
        <v>0</v>
      </c>
      <c r="P13" s="37"/>
      <c r="Q13" s="37"/>
    </row>
    <row r="14" spans="1:17" ht="15.75" customHeight="1" x14ac:dyDescent="0.35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7"/>
      <c r="N14" s="29">
        <f t="shared" si="0"/>
        <v>0</v>
      </c>
      <c r="P14" s="34"/>
      <c r="Q14" s="34"/>
    </row>
    <row r="15" spans="1:17" ht="15.75" customHeight="1" x14ac:dyDescent="0.35">
      <c r="A15" s="128" t="s">
        <v>75</v>
      </c>
      <c r="B15" s="120">
        <v>0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1">
        <v>0</v>
      </c>
      <c r="N15" s="29">
        <f t="shared" si="0"/>
        <v>0</v>
      </c>
      <c r="P15" s="34"/>
      <c r="Q15" s="34"/>
    </row>
    <row r="16" spans="1:17" ht="15.75" customHeight="1" x14ac:dyDescent="0.35">
      <c r="A16" s="117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1"/>
      <c r="N16" s="29">
        <f t="shared" si="0"/>
        <v>0</v>
      </c>
      <c r="P16" s="34"/>
      <c r="Q16" s="34"/>
    </row>
    <row r="17" spans="1:17" ht="15.75" customHeight="1" x14ac:dyDescent="0.35">
      <c r="A17" s="128" t="str">
        <f>Exploitatie!A12</f>
        <v xml:space="preserve">Inkoop </v>
      </c>
      <c r="B17" s="120">
        <f>Exploitatie!$E$12*B6</f>
        <v>21420</v>
      </c>
      <c r="C17" s="120">
        <f>Exploitatie!$E$12*C6</f>
        <v>21420</v>
      </c>
      <c r="D17" s="120">
        <f>Exploitatie!$E$12*D6</f>
        <v>21420</v>
      </c>
      <c r="E17" s="120">
        <f>Exploitatie!$E$12*E6</f>
        <v>21420</v>
      </c>
      <c r="F17" s="120">
        <f>Exploitatie!$E$12*F6</f>
        <v>21420</v>
      </c>
      <c r="G17" s="120">
        <f>Exploitatie!$E$12*G6</f>
        <v>21420</v>
      </c>
      <c r="H17" s="120">
        <f>Exploitatie!$E$12*H6</f>
        <v>22950</v>
      </c>
      <c r="I17" s="120">
        <f>Exploitatie!$E$12*I6</f>
        <v>22950</v>
      </c>
      <c r="J17" s="120">
        <f>Exploitatie!$E$12*J6</f>
        <v>22950</v>
      </c>
      <c r="K17" s="120">
        <f>Exploitatie!$E$12*K6</f>
        <v>22950</v>
      </c>
      <c r="L17" s="120">
        <f>Exploitatie!$E$12*L6</f>
        <v>22950</v>
      </c>
      <c r="M17" s="121">
        <f>Exploitatie!$E$12*M6</f>
        <v>22950</v>
      </c>
      <c r="N17" s="32">
        <f t="shared" si="0"/>
        <v>266220</v>
      </c>
      <c r="P17" s="35"/>
      <c r="Q17" s="34"/>
    </row>
    <row r="18" spans="1:17" ht="15.75" customHeight="1" x14ac:dyDescent="0.35">
      <c r="A18" s="11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21"/>
      <c r="N18" s="29">
        <f t="shared" si="0"/>
        <v>0</v>
      </c>
      <c r="P18" s="35"/>
      <c r="Q18" s="34"/>
    </row>
    <row r="19" spans="1:17" ht="15.75" customHeight="1" x14ac:dyDescent="0.35">
      <c r="A19" s="128" t="s">
        <v>74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29"/>
      <c r="N19" s="29">
        <f t="shared" si="0"/>
        <v>0</v>
      </c>
      <c r="P19" s="35"/>
      <c r="Q19" s="34"/>
    </row>
    <row r="20" spans="1:17" ht="15.75" customHeight="1" x14ac:dyDescent="0.35">
      <c r="A20" s="117" t="s">
        <v>31</v>
      </c>
      <c r="B20" s="118">
        <f>Exploitatie!$C$92/12</f>
        <v>7120.6833333333334</v>
      </c>
      <c r="C20" s="118">
        <f>Exploitatie!$C$92/12</f>
        <v>7120.6833333333334</v>
      </c>
      <c r="D20" s="118">
        <f>Exploitatie!$C$92/12</f>
        <v>7120.6833333333334</v>
      </c>
      <c r="E20" s="118">
        <f>Exploitatie!$C$92/12</f>
        <v>7120.6833333333334</v>
      </c>
      <c r="F20" s="118">
        <f>Exploitatie!$C$92/12</f>
        <v>7120.6833333333334</v>
      </c>
      <c r="G20" s="118">
        <f>Exploitatie!$C$92/12</f>
        <v>7120.6833333333334</v>
      </c>
      <c r="H20" s="118">
        <f>Exploitatie!$C$92/12</f>
        <v>7120.6833333333334</v>
      </c>
      <c r="I20" s="118">
        <f>Exploitatie!$C$92/12</f>
        <v>7120.6833333333334</v>
      </c>
      <c r="J20" s="118">
        <f>Exploitatie!$C$92/12</f>
        <v>7120.6833333333334</v>
      </c>
      <c r="K20" s="118">
        <f>Exploitatie!$C$92/12</f>
        <v>7120.6833333333334</v>
      </c>
      <c r="L20" s="118">
        <f>Exploitatie!$C$92/12</f>
        <v>7120.6833333333334</v>
      </c>
      <c r="M20" s="121">
        <f>Exploitatie!$C$92/12</f>
        <v>7120.6833333333334</v>
      </c>
      <c r="N20" s="29">
        <f t="shared" si="0"/>
        <v>85448.2</v>
      </c>
      <c r="P20" s="34"/>
      <c r="Q20" s="34"/>
    </row>
    <row r="21" spans="1:17" ht="15.75" customHeight="1" x14ac:dyDescent="0.35">
      <c r="A21" s="117" t="s">
        <v>30</v>
      </c>
      <c r="B21" s="118">
        <f>Exploitatie!$C$93/12*1.21</f>
        <v>802.23</v>
      </c>
      <c r="C21" s="118">
        <f>Exploitatie!$C$93/12*1.21</f>
        <v>802.23</v>
      </c>
      <c r="D21" s="118">
        <f>Exploitatie!$C$93/12*1.21</f>
        <v>802.23</v>
      </c>
      <c r="E21" s="118">
        <f>Exploitatie!$C$93/12*1.21</f>
        <v>802.23</v>
      </c>
      <c r="F21" s="118">
        <f>Exploitatie!$C$93/12*1.21</f>
        <v>802.23</v>
      </c>
      <c r="G21" s="118">
        <f>Exploitatie!$C$93/12*1.21</f>
        <v>802.23</v>
      </c>
      <c r="H21" s="118">
        <f>Exploitatie!$C$93/12*1.21</f>
        <v>802.23</v>
      </c>
      <c r="I21" s="118">
        <f>Exploitatie!$C$93/12*1.21</f>
        <v>802.23</v>
      </c>
      <c r="J21" s="118">
        <f>Exploitatie!$C$93/12*1.21</f>
        <v>802.23</v>
      </c>
      <c r="K21" s="118">
        <f>Exploitatie!$C$93/12*1.21</f>
        <v>802.23</v>
      </c>
      <c r="L21" s="118">
        <f>Exploitatie!$C$93/12*1.21</f>
        <v>802.23</v>
      </c>
      <c r="M21" s="121">
        <f>Exploitatie!$C$93/12*1.21</f>
        <v>802.23</v>
      </c>
      <c r="N21" s="29">
        <f t="shared" si="0"/>
        <v>9626.7599999999984</v>
      </c>
      <c r="P21" s="34"/>
      <c r="Q21" s="34"/>
    </row>
    <row r="22" spans="1:17" ht="15.75" customHeight="1" x14ac:dyDescent="0.35">
      <c r="A22" s="117" t="s">
        <v>29</v>
      </c>
      <c r="B22" s="118">
        <f>Exploitatie!$C$94/12*1.21</f>
        <v>3147.21</v>
      </c>
      <c r="C22" s="118">
        <f>Exploitatie!$C$94/12*1.21</f>
        <v>3147.21</v>
      </c>
      <c r="D22" s="118">
        <f>Exploitatie!$C$94/12*1.21</f>
        <v>3147.21</v>
      </c>
      <c r="E22" s="118">
        <f>Exploitatie!$C$94/12*1.21</f>
        <v>3147.21</v>
      </c>
      <c r="F22" s="118">
        <f>Exploitatie!$C$94/12*1.21</f>
        <v>3147.21</v>
      </c>
      <c r="G22" s="118">
        <f>Exploitatie!$C$94/12*1.21</f>
        <v>3147.21</v>
      </c>
      <c r="H22" s="118">
        <f>Exploitatie!$C$94/12*1.21</f>
        <v>3147.21</v>
      </c>
      <c r="I22" s="118">
        <f>Exploitatie!$C$94/12*1.21</f>
        <v>3147.21</v>
      </c>
      <c r="J22" s="118">
        <f>Exploitatie!$C$94/12*1.21</f>
        <v>3147.21</v>
      </c>
      <c r="K22" s="118">
        <f>Exploitatie!$C$94/12*1.21</f>
        <v>3147.21</v>
      </c>
      <c r="L22" s="118">
        <f>Exploitatie!$C$94/12*1.21</f>
        <v>3147.21</v>
      </c>
      <c r="M22" s="121">
        <f>Exploitatie!$C$94/12*1.21</f>
        <v>3147.21</v>
      </c>
      <c r="N22" s="29">
        <f t="shared" si="0"/>
        <v>37766.519999999997</v>
      </c>
      <c r="P22" s="34"/>
      <c r="Q22" s="34"/>
    </row>
    <row r="23" spans="1:17" ht="15.75" customHeight="1" x14ac:dyDescent="0.35">
      <c r="A23" s="117" t="s">
        <v>28</v>
      </c>
      <c r="B23" s="118">
        <f>Exploitatie!$C$95/12*1.21</f>
        <v>1162.6083333333333</v>
      </c>
      <c r="C23" s="118">
        <f>Exploitatie!$C$95/12*1.21</f>
        <v>1162.6083333333333</v>
      </c>
      <c r="D23" s="118">
        <f>Exploitatie!$C$95/12*1.21</f>
        <v>1162.6083333333333</v>
      </c>
      <c r="E23" s="118">
        <f>Exploitatie!$C$95/12*1.21</f>
        <v>1162.6083333333333</v>
      </c>
      <c r="F23" s="118">
        <f>Exploitatie!$C$95/12*1.21</f>
        <v>1162.6083333333333</v>
      </c>
      <c r="G23" s="118">
        <f>Exploitatie!$C$95/12*1.21</f>
        <v>1162.6083333333333</v>
      </c>
      <c r="H23" s="118">
        <f>Exploitatie!$C$95/12*1.21</f>
        <v>1162.6083333333333</v>
      </c>
      <c r="I23" s="118">
        <f>Exploitatie!$C$95/12*1.21</f>
        <v>1162.6083333333333</v>
      </c>
      <c r="J23" s="118">
        <f>Exploitatie!$C$95/12*1.21</f>
        <v>1162.6083333333333</v>
      </c>
      <c r="K23" s="118">
        <f>Exploitatie!$C$95/12*1.21</f>
        <v>1162.6083333333333</v>
      </c>
      <c r="L23" s="118">
        <f>Exploitatie!$C$95/12*1.21</f>
        <v>1162.6083333333333</v>
      </c>
      <c r="M23" s="121">
        <f>Exploitatie!$C$95/12*1.21</f>
        <v>1162.6083333333333</v>
      </c>
      <c r="N23" s="29">
        <f t="shared" si="0"/>
        <v>13951.300000000001</v>
      </c>
      <c r="P23" s="34"/>
      <c r="Q23" s="34"/>
    </row>
    <row r="24" spans="1:17" ht="15.75" customHeight="1" x14ac:dyDescent="0.35">
      <c r="A24" s="117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21"/>
      <c r="N24" s="29">
        <f t="shared" si="0"/>
        <v>0</v>
      </c>
      <c r="P24" s="34"/>
      <c r="Q24" s="34"/>
    </row>
    <row r="25" spans="1:17" ht="15.75" customHeight="1" x14ac:dyDescent="0.35">
      <c r="A25" s="128" t="s">
        <v>73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21"/>
      <c r="N25" s="29">
        <f t="shared" si="0"/>
        <v>0</v>
      </c>
    </row>
    <row r="26" spans="1:17" ht="15.75" customHeight="1" x14ac:dyDescent="0.35">
      <c r="A26" s="117" t="s">
        <v>72</v>
      </c>
      <c r="B26" s="118">
        <v>0</v>
      </c>
      <c r="C26" s="118">
        <v>0</v>
      </c>
      <c r="D26" s="118">
        <f>Q5</f>
        <v>3750</v>
      </c>
      <c r="E26" s="118">
        <v>0</v>
      </c>
      <c r="F26" s="118">
        <v>0</v>
      </c>
      <c r="G26" s="118">
        <f>Q5</f>
        <v>3750</v>
      </c>
      <c r="H26" s="118">
        <v>0</v>
      </c>
      <c r="I26" s="118">
        <v>0</v>
      </c>
      <c r="J26" s="118">
        <f>Q5</f>
        <v>3750</v>
      </c>
      <c r="K26" s="118">
        <v>0</v>
      </c>
      <c r="L26" s="118">
        <v>0</v>
      </c>
      <c r="M26" s="121">
        <f>Q5</f>
        <v>3750</v>
      </c>
      <c r="N26" s="29">
        <f t="shared" si="0"/>
        <v>15000</v>
      </c>
    </row>
    <row r="27" spans="1:17" ht="15.75" customHeight="1" x14ac:dyDescent="0.35">
      <c r="A27" s="117" t="s">
        <v>71</v>
      </c>
      <c r="B27" s="118">
        <f>(($Q4-4*$Q5)*$Q6)/12</f>
        <v>350</v>
      </c>
      <c r="C27" s="118">
        <f>(($Q4-4*$Q5)*$Q6)/12</f>
        <v>350</v>
      </c>
      <c r="D27" s="118">
        <f>(($Q4-4*$Q5)*$Q6)/12</f>
        <v>350</v>
      </c>
      <c r="E27" s="118">
        <f>(($Q4-5*$Q5)*$Q6)/12</f>
        <v>328.12500000000006</v>
      </c>
      <c r="F27" s="118">
        <f>(($Q4-5*$Q5)*$Q6)/12</f>
        <v>328.12500000000006</v>
      </c>
      <c r="G27" s="118">
        <f>(($Q4-5*$Q5)*$Q6)/12</f>
        <v>328.12500000000006</v>
      </c>
      <c r="H27" s="118">
        <f>(($Q4-6*$Q5)*$Q6)/12</f>
        <v>306.25000000000006</v>
      </c>
      <c r="I27" s="118">
        <f>(($Q4-6*$Q5)*$Q6)/12</f>
        <v>306.25000000000006</v>
      </c>
      <c r="J27" s="118">
        <f>(($Q4-6*$Q5)*$Q6)/12</f>
        <v>306.25000000000006</v>
      </c>
      <c r="K27" s="118">
        <f>(($Q4-7*$Q5)*$Q6)/12</f>
        <v>284.37500000000006</v>
      </c>
      <c r="L27" s="118">
        <f>(($Q4-7*$Q5)*$Q6)/12</f>
        <v>284.37500000000006</v>
      </c>
      <c r="M27" s="121">
        <f>(($Q4-7*$Q5)*$Q6)/12</f>
        <v>284.37500000000006</v>
      </c>
      <c r="N27" s="29">
        <f t="shared" si="0"/>
        <v>3806.25</v>
      </c>
    </row>
    <row r="28" spans="1:17" ht="15.75" customHeight="1" x14ac:dyDescent="0.35">
      <c r="A28" s="117" t="str">
        <f>'Liquiditeit Jaar 1'!A28</f>
        <v>Rentekosten kort vreemd vermogen</v>
      </c>
      <c r="B28" s="120">
        <v>0</v>
      </c>
      <c r="C28" s="120">
        <v>0</v>
      </c>
      <c r="D28" s="120">
        <v>0</v>
      </c>
      <c r="E28" s="120">
        <v>0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  <c r="K28" s="120">
        <v>0</v>
      </c>
      <c r="L28" s="120">
        <v>0</v>
      </c>
      <c r="M28" s="121">
        <v>0</v>
      </c>
      <c r="N28" s="29">
        <f t="shared" si="0"/>
        <v>0</v>
      </c>
    </row>
    <row r="29" spans="1:17" ht="15.75" customHeight="1" x14ac:dyDescent="0.35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21"/>
      <c r="N29" s="29">
        <f t="shared" si="0"/>
        <v>0</v>
      </c>
    </row>
    <row r="30" spans="1:17" ht="15.75" customHeight="1" x14ac:dyDescent="0.35">
      <c r="A30" s="128" t="s">
        <v>69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21"/>
      <c r="N30" s="29">
        <f t="shared" si="0"/>
        <v>0</v>
      </c>
    </row>
    <row r="31" spans="1:17" ht="15.75" customHeight="1" x14ac:dyDescent="0.35">
      <c r="A31" s="117" t="str">
        <f>'Liquiditeit Jaar 1'!A31</f>
        <v>Vennootschapsbelasting</v>
      </c>
      <c r="B31" s="118">
        <f>Exploitatie!$C$67/12</f>
        <v>1096.6812496556479</v>
      </c>
      <c r="C31" s="118">
        <f>Exploitatie!$C$67/12</f>
        <v>1096.6812496556479</v>
      </c>
      <c r="D31" s="118">
        <f>Exploitatie!$C$67/12</f>
        <v>1096.6812496556479</v>
      </c>
      <c r="E31" s="118">
        <f>Exploitatie!$C$67/12</f>
        <v>1096.6812496556479</v>
      </c>
      <c r="F31" s="118">
        <f>Exploitatie!$C$67/12</f>
        <v>1096.6812496556479</v>
      </c>
      <c r="G31" s="118">
        <f>Exploitatie!$C$67/12</f>
        <v>1096.6812496556479</v>
      </c>
      <c r="H31" s="118">
        <f>Exploitatie!$C$67/12</f>
        <v>1096.6812496556479</v>
      </c>
      <c r="I31" s="118">
        <f>Exploitatie!$C$67/12</f>
        <v>1096.6812496556479</v>
      </c>
      <c r="J31" s="118">
        <f>Exploitatie!$C$67/12</f>
        <v>1096.6812496556479</v>
      </c>
      <c r="K31" s="118">
        <f>Exploitatie!$C$67/12</f>
        <v>1096.6812496556479</v>
      </c>
      <c r="L31" s="118">
        <f>Exploitatie!$C$67/12</f>
        <v>1096.6812496556479</v>
      </c>
      <c r="M31" s="121">
        <f>Exploitatie!$C$67/12</f>
        <v>1096.6812496556479</v>
      </c>
      <c r="N31" s="29">
        <f t="shared" si="0"/>
        <v>13160.174995867777</v>
      </c>
    </row>
    <row r="32" spans="1:17" ht="15.75" customHeight="1" x14ac:dyDescent="0.35">
      <c r="A32" s="117" t="s">
        <v>68</v>
      </c>
      <c r="B32" s="118">
        <f>SUM('Liquiditeit Jaar 1'!K44:M44)</f>
        <v>8028.6375504249991</v>
      </c>
      <c r="C32" s="118">
        <v>0</v>
      </c>
      <c r="D32" s="118">
        <v>0</v>
      </c>
      <c r="E32" s="118">
        <f>SUM(B44:D44)</f>
        <v>8490.9160535135015</v>
      </c>
      <c r="F32" s="118">
        <v>0</v>
      </c>
      <c r="G32" s="118">
        <v>0</v>
      </c>
      <c r="H32" s="118">
        <f>SUM(E44:G44)</f>
        <v>8490.9160535135015</v>
      </c>
      <c r="I32" s="118">
        <v>0</v>
      </c>
      <c r="J32" s="118">
        <v>0</v>
      </c>
      <c r="K32" s="118">
        <f>SUM(H44:J44)</f>
        <v>9287.5275365135021</v>
      </c>
      <c r="L32" s="118">
        <v>0</v>
      </c>
      <c r="M32" s="121">
        <v>0</v>
      </c>
      <c r="N32" s="29">
        <f t="shared" si="0"/>
        <v>34297.997193965508</v>
      </c>
    </row>
    <row r="33" spans="1:14" ht="15.75" customHeight="1" x14ac:dyDescent="0.25">
      <c r="A33" s="31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30"/>
      <c r="N33" s="29">
        <f t="shared" si="0"/>
        <v>0</v>
      </c>
    </row>
    <row r="34" spans="1:14" ht="15.75" customHeight="1" x14ac:dyDescent="0.35">
      <c r="A34" s="50" t="s">
        <v>67</v>
      </c>
      <c r="B34" s="122">
        <f>SUM(B15:B33)</f>
        <v>43128.050466747314</v>
      </c>
      <c r="C34" s="122">
        <f>SUM(C15:C33)</f>
        <v>35099.412916322312</v>
      </c>
      <c r="D34" s="122">
        <f>SUM(D15:D33)</f>
        <v>38849.412916322312</v>
      </c>
      <c r="E34" s="122">
        <f>SUM(E15:E33)</f>
        <v>43568.453969835813</v>
      </c>
      <c r="F34" s="122">
        <f>SUM(F15:F33)</f>
        <v>35077.537916322312</v>
      </c>
      <c r="G34" s="122">
        <f>SUM(G15:G33)</f>
        <v>38827.537916322312</v>
      </c>
      <c r="H34" s="122">
        <f>SUM(H15:H33)</f>
        <v>45076.578969835813</v>
      </c>
      <c r="I34" s="122">
        <f>SUM(I15:I33)</f>
        <v>36585.662916322312</v>
      </c>
      <c r="J34" s="122">
        <f>SUM(J15:J33)</f>
        <v>40335.662916322312</v>
      </c>
      <c r="K34" s="122">
        <f>SUM(K15:K33)</f>
        <v>45851.315452835814</v>
      </c>
      <c r="L34" s="122">
        <f>SUM(L15:L33)</f>
        <v>36563.787916322312</v>
      </c>
      <c r="M34" s="123">
        <f>SUM(M15:M33)</f>
        <v>40313.787916322312</v>
      </c>
      <c r="N34" s="29">
        <f t="shared" si="0"/>
        <v>479277.20218983316</v>
      </c>
    </row>
    <row r="35" spans="1:14" ht="15.75" customHeight="1" x14ac:dyDescent="0.35">
      <c r="A35" s="132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4"/>
      <c r="N35" s="29">
        <f t="shared" si="0"/>
        <v>0</v>
      </c>
    </row>
    <row r="36" spans="1:14" ht="15.75" customHeight="1" x14ac:dyDescent="0.35">
      <c r="A36" s="117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35"/>
      <c r="N36" s="29">
        <f t="shared" si="0"/>
        <v>0</v>
      </c>
    </row>
    <row r="37" spans="1:14" ht="15.75" customHeight="1" x14ac:dyDescent="0.35">
      <c r="A37" s="136" t="s">
        <v>66</v>
      </c>
      <c r="B37" s="137">
        <f>'Liquiditeit Jaar 1'!M39</f>
        <v>22460.609083766296</v>
      </c>
      <c r="C37" s="137">
        <f t="shared" ref="C37:M37" si="2">B39</f>
        <v>22172.558617018982</v>
      </c>
      <c r="D37" s="137">
        <f t="shared" si="2"/>
        <v>29913.14570069667</v>
      </c>
      <c r="E37" s="137">
        <f t="shared" si="2"/>
        <v>33903.732784374355</v>
      </c>
      <c r="F37" s="137">
        <f t="shared" si="2"/>
        <v>33175.278814538542</v>
      </c>
      <c r="G37" s="137">
        <f t="shared" si="2"/>
        <v>40937.740898216231</v>
      </c>
      <c r="H37" s="137">
        <f t="shared" si="2"/>
        <v>44950.202981893919</v>
      </c>
      <c r="I37" s="137">
        <f t="shared" si="2"/>
        <v>45773.624012058106</v>
      </c>
      <c r="J37" s="137">
        <f t="shared" si="2"/>
        <v>55087.961095735795</v>
      </c>
      <c r="K37" s="137">
        <f t="shared" si="2"/>
        <v>60652.298179413483</v>
      </c>
      <c r="L37" s="137">
        <f t="shared" si="2"/>
        <v>60700.982726577669</v>
      </c>
      <c r="M37" s="121">
        <f t="shared" si="2"/>
        <v>70037.194810255358</v>
      </c>
      <c r="N37" s="29">
        <f t="shared" si="0"/>
        <v>519765.32970454544</v>
      </c>
    </row>
    <row r="38" spans="1:14" ht="15.75" customHeight="1" x14ac:dyDescent="0.35">
      <c r="A38" s="138" t="s">
        <v>65</v>
      </c>
      <c r="B38" s="139">
        <f>B11-B34</f>
        <v>-288.0504667473142</v>
      </c>
      <c r="C38" s="139">
        <f>C11-C34</f>
        <v>7740.5870836776885</v>
      </c>
      <c r="D38" s="139">
        <f>D11-D34</f>
        <v>3990.5870836776885</v>
      </c>
      <c r="E38" s="139">
        <f>E11-E34</f>
        <v>-728.45396983581304</v>
      </c>
      <c r="F38" s="139">
        <f>F11-F34</f>
        <v>7762.4620836776885</v>
      </c>
      <c r="G38" s="139">
        <f>G11-G34</f>
        <v>4012.4620836776885</v>
      </c>
      <c r="H38" s="139">
        <f>H11-H34</f>
        <v>823.42103016418696</v>
      </c>
      <c r="I38" s="139">
        <f>I11-I34</f>
        <v>9314.3370836776885</v>
      </c>
      <c r="J38" s="139">
        <f>J11-J34</f>
        <v>5564.3370836776885</v>
      </c>
      <c r="K38" s="139">
        <f>K11-K34</f>
        <v>48.68454716418637</v>
      </c>
      <c r="L38" s="139">
        <f>L11-L34</f>
        <v>9336.2120836776885</v>
      </c>
      <c r="M38" s="140">
        <f>M11-M34</f>
        <v>5586.2120836776885</v>
      </c>
      <c r="N38" s="29">
        <f t="shared" si="0"/>
        <v>53162.797810166754</v>
      </c>
    </row>
    <row r="39" spans="1:14" ht="15.75" customHeight="1" x14ac:dyDescent="0.35">
      <c r="A39" s="141" t="s">
        <v>64</v>
      </c>
      <c r="B39" s="142">
        <f t="shared" ref="B39:M39" si="3">B37+B38</f>
        <v>22172.558617018982</v>
      </c>
      <c r="C39" s="142">
        <f t="shared" si="3"/>
        <v>29913.14570069667</v>
      </c>
      <c r="D39" s="142">
        <f t="shared" si="3"/>
        <v>33903.732784374355</v>
      </c>
      <c r="E39" s="142">
        <f t="shared" si="3"/>
        <v>33175.278814538542</v>
      </c>
      <c r="F39" s="142">
        <f t="shared" si="3"/>
        <v>40937.740898216231</v>
      </c>
      <c r="G39" s="142">
        <f t="shared" si="3"/>
        <v>44950.202981893919</v>
      </c>
      <c r="H39" s="142">
        <f t="shared" si="3"/>
        <v>45773.624012058106</v>
      </c>
      <c r="I39" s="142">
        <f t="shared" si="3"/>
        <v>55087.961095735795</v>
      </c>
      <c r="J39" s="142">
        <f t="shared" si="3"/>
        <v>60652.298179413483</v>
      </c>
      <c r="K39" s="142">
        <f t="shared" si="3"/>
        <v>60700.982726577669</v>
      </c>
      <c r="L39" s="142">
        <f t="shared" si="3"/>
        <v>70037.194810255358</v>
      </c>
      <c r="M39" s="143">
        <f t="shared" si="3"/>
        <v>75623.406893933046</v>
      </c>
      <c r="N39" s="29">
        <f t="shared" si="0"/>
        <v>572928.12751471216</v>
      </c>
    </row>
    <row r="40" spans="1:14" ht="15.75" customHeight="1" x14ac:dyDescent="0.35">
      <c r="A40" s="45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</row>
    <row r="41" spans="1:14" ht="15.75" customHeight="1" thickBot="1" x14ac:dyDescent="0.4">
      <c r="A41" s="45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4" ht="15.75" customHeight="1" x14ac:dyDescent="0.35">
      <c r="A42" s="136" t="s">
        <v>63</v>
      </c>
      <c r="B42" s="137">
        <f>(B6)*0.1735537</f>
        <v>7435.040508</v>
      </c>
      <c r="C42" s="137">
        <f>(C6)*0.1735537</f>
        <v>7435.040508</v>
      </c>
      <c r="D42" s="137">
        <f>(D6)*0.1735537</f>
        <v>7435.040508</v>
      </c>
      <c r="E42" s="137">
        <f>(E6)*0.1735537</f>
        <v>7435.040508</v>
      </c>
      <c r="F42" s="137">
        <f>(F6)*0.1735537</f>
        <v>7435.040508</v>
      </c>
      <c r="G42" s="137">
        <f>(G6)*0.1735537</f>
        <v>7435.040508</v>
      </c>
      <c r="H42" s="137">
        <f>(H6)*0.1735537</f>
        <v>7966.1148300000004</v>
      </c>
      <c r="I42" s="137">
        <f>(I6)*0.1735537</f>
        <v>7966.1148300000004</v>
      </c>
      <c r="J42" s="137">
        <f>(J6)*0.1735537</f>
        <v>7966.1148300000004</v>
      </c>
      <c r="K42" s="137">
        <f>(K6)*0.1735537</f>
        <v>7966.1148300000004</v>
      </c>
      <c r="L42" s="137">
        <f>(L6)*0.1735537</f>
        <v>7966.1148300000004</v>
      </c>
      <c r="M42" s="144">
        <f>(M6)*0.1735537</f>
        <v>7966.1148300000004</v>
      </c>
      <c r="N42" s="27"/>
    </row>
    <row r="43" spans="1:14" ht="15.75" customHeight="1" x14ac:dyDescent="0.35">
      <c r="A43" s="138" t="s">
        <v>62</v>
      </c>
      <c r="B43" s="139">
        <f>(B15+B17+B21+B22+B23)*0.1735537</f>
        <v>4604.7351568288332</v>
      </c>
      <c r="C43" s="139">
        <f>(C15+C17+C21+C22+C23)*0.1735537</f>
        <v>4604.7351568288332</v>
      </c>
      <c r="D43" s="139">
        <f>(D15+D17+D21+D22+D23)*0.1735537</f>
        <v>4604.7351568288332</v>
      </c>
      <c r="E43" s="139">
        <f>(E15+E17+E21+E22+E23)*0.1735537</f>
        <v>4604.7351568288332</v>
      </c>
      <c r="F43" s="139">
        <f>(F15+F17+F21+F22+F23)*0.1735537</f>
        <v>4604.7351568288332</v>
      </c>
      <c r="G43" s="139">
        <f>(G15+G17+G21+G22+G23)*0.1735537</f>
        <v>4604.7351568288332</v>
      </c>
      <c r="H43" s="139">
        <f>(H15+H17+H21+H22+H23)*0.1735537</f>
        <v>4870.2723178288334</v>
      </c>
      <c r="I43" s="139">
        <f>(I15+I17+I21+I22+I23)*0.1735537</f>
        <v>4870.2723178288334</v>
      </c>
      <c r="J43" s="139">
        <f>(J15+J17+J21+J22+J23)*0.1735537</f>
        <v>4870.2723178288334</v>
      </c>
      <c r="K43" s="139">
        <f>(K15+K17+K21+K22+K23)*0.1735537</f>
        <v>4870.2723178288334</v>
      </c>
      <c r="L43" s="139">
        <f>(L15+L17+L21+L22+L23)*0.1735537</f>
        <v>4870.2723178288334</v>
      </c>
      <c r="M43" s="140">
        <f>(M15+M17+M21+M22+M23)*0.1735537</f>
        <v>4870.2723178288334</v>
      </c>
      <c r="N43" s="26"/>
    </row>
    <row r="44" spans="1:14" ht="15.75" customHeight="1" x14ac:dyDescent="0.35">
      <c r="A44" s="141" t="s">
        <v>61</v>
      </c>
      <c r="B44" s="142">
        <f t="shared" ref="B44:M44" si="4">B42-B43</f>
        <v>2830.3053511711669</v>
      </c>
      <c r="C44" s="142">
        <f t="shared" si="4"/>
        <v>2830.3053511711669</v>
      </c>
      <c r="D44" s="142">
        <f t="shared" si="4"/>
        <v>2830.3053511711669</v>
      </c>
      <c r="E44" s="142">
        <f t="shared" si="4"/>
        <v>2830.3053511711669</v>
      </c>
      <c r="F44" s="142">
        <f t="shared" si="4"/>
        <v>2830.3053511711669</v>
      </c>
      <c r="G44" s="142">
        <f t="shared" si="4"/>
        <v>2830.3053511711669</v>
      </c>
      <c r="H44" s="142">
        <f t="shared" si="4"/>
        <v>3095.8425121711671</v>
      </c>
      <c r="I44" s="142">
        <f t="shared" si="4"/>
        <v>3095.8425121711671</v>
      </c>
      <c r="J44" s="142">
        <f t="shared" si="4"/>
        <v>3095.8425121711671</v>
      </c>
      <c r="K44" s="142">
        <f t="shared" si="4"/>
        <v>3095.8425121711671</v>
      </c>
      <c r="L44" s="142">
        <f t="shared" si="4"/>
        <v>3095.8425121711671</v>
      </c>
      <c r="M44" s="143">
        <f t="shared" si="4"/>
        <v>3095.8425121711671</v>
      </c>
    </row>
    <row r="45" spans="1:14" ht="15" x14ac:dyDescent="0.25">
      <c r="A45" s="3"/>
      <c r="B45" s="3"/>
      <c r="C45" s="3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51" spans="1:6" x14ac:dyDescent="0.2">
      <c r="A51" s="24"/>
      <c r="E51" s="23"/>
      <c r="F51" s="23"/>
    </row>
    <row r="60" spans="1:6" x14ac:dyDescent="0.2">
      <c r="D60" s="23"/>
      <c r="E60" s="23"/>
      <c r="F60" s="23"/>
    </row>
    <row r="65" spans="4:6" x14ac:dyDescent="0.2">
      <c r="D65" s="23"/>
      <c r="E65" s="23"/>
      <c r="F65" s="23"/>
    </row>
    <row r="93" spans="4:5" ht="15.75" x14ac:dyDescent="0.25">
      <c r="D93" s="22"/>
      <c r="E93" s="21"/>
    </row>
    <row r="100" spans="4:6" x14ac:dyDescent="0.2">
      <c r="D100" s="20"/>
      <c r="E100" s="20"/>
      <c r="F100" s="20"/>
    </row>
  </sheetData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0"/>
  <sheetViews>
    <sheetView zoomScale="110" zoomScaleNormal="110" zoomScalePageLayoutView="80" workbookViewId="0">
      <selection activeCell="Q27" sqref="Q27"/>
    </sheetView>
  </sheetViews>
  <sheetFormatPr defaultColWidth="10.140625" defaultRowHeight="12.75" x14ac:dyDescent="0.2"/>
  <cols>
    <col min="1" max="1" width="52" style="1" bestFit="1" customWidth="1"/>
    <col min="2" max="13" width="10.28515625" style="1" customWidth="1"/>
    <col min="14" max="14" width="14.140625" style="1" hidden="1" customWidth="1"/>
    <col min="15" max="15" width="10.140625" style="1"/>
    <col min="16" max="16" width="21.85546875" style="1" bestFit="1" customWidth="1"/>
    <col min="17" max="16384" width="10.140625" style="1"/>
  </cols>
  <sheetData>
    <row r="1" spans="1:17" ht="34.5" customHeight="1" x14ac:dyDescent="0.55000000000000004">
      <c r="A1" s="43" t="s">
        <v>80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7" ht="34.5" customHeight="1" x14ac:dyDescent="0.35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7" ht="15.75" customHeight="1" x14ac:dyDescent="0.35">
      <c r="A3" s="81"/>
      <c r="B3" s="82">
        <v>1</v>
      </c>
      <c r="C3" s="82">
        <v>2</v>
      </c>
      <c r="D3" s="82">
        <v>3</v>
      </c>
      <c r="E3" s="82">
        <v>4</v>
      </c>
      <c r="F3" s="82">
        <v>5</v>
      </c>
      <c r="G3" s="82">
        <v>6</v>
      </c>
      <c r="H3" s="82">
        <v>7</v>
      </c>
      <c r="I3" s="82">
        <v>8</v>
      </c>
      <c r="J3" s="82">
        <v>9</v>
      </c>
      <c r="K3" s="82">
        <v>10</v>
      </c>
      <c r="L3" s="82">
        <v>11</v>
      </c>
      <c r="M3" s="94">
        <v>12</v>
      </c>
      <c r="P3" s="146" t="s">
        <v>60</v>
      </c>
      <c r="Q3" s="147"/>
    </row>
    <row r="4" spans="1:17" s="36" customFormat="1" ht="15.75" customHeight="1" x14ac:dyDescent="0.35">
      <c r="A4" s="50" t="s">
        <v>91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29"/>
      <c r="P4" s="148" t="s">
        <v>59</v>
      </c>
      <c r="Q4" s="149">
        <f>'Liquiditeit Jaar 2'!Q4</f>
        <v>75000</v>
      </c>
    </row>
    <row r="5" spans="1:17" ht="15.75" customHeight="1" x14ac:dyDescent="0.35">
      <c r="A5" s="11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1"/>
      <c r="P5" s="148" t="s">
        <v>58</v>
      </c>
      <c r="Q5" s="149">
        <f>'Liquiditeit Jaar 2'!Q5</f>
        <v>3750</v>
      </c>
    </row>
    <row r="6" spans="1:17" s="39" customFormat="1" ht="15.75" customHeight="1" x14ac:dyDescent="0.35">
      <c r="A6" s="117" t="str">
        <f>Exploitatie!A6</f>
        <v>Omzet</v>
      </c>
      <c r="B6" s="120">
        <f>Exploitatie!H19*1.21</f>
        <v>49939.199999999997</v>
      </c>
      <c r="C6" s="120">
        <f>Exploitatie!I19*1.21</f>
        <v>49939.199999999997</v>
      </c>
      <c r="D6" s="120">
        <f>Exploitatie!J19*1.21</f>
        <v>49939.199999999997</v>
      </c>
      <c r="E6" s="120">
        <f>Exploitatie!K19*1.21</f>
        <v>49939.199999999997</v>
      </c>
      <c r="F6" s="120">
        <f>Exploitatie!L19*1.21</f>
        <v>49939.199999999997</v>
      </c>
      <c r="G6" s="120">
        <f>Exploitatie!M19*1.21</f>
        <v>49939.199999999997</v>
      </c>
      <c r="H6" s="120">
        <f>Exploitatie!N19*1.21</f>
        <v>49939.199999999997</v>
      </c>
      <c r="I6" s="120">
        <f>Exploitatie!O19*1.21</f>
        <v>49939.199999999997</v>
      </c>
      <c r="J6" s="120">
        <f>Exploitatie!P19*1.21</f>
        <v>49939.199999999997</v>
      </c>
      <c r="K6" s="120">
        <f>Exploitatie!Q19*1.21</f>
        <v>49939.199999999997</v>
      </c>
      <c r="L6" s="120">
        <f>Exploitatie!R19*1.21</f>
        <v>49939.199999999997</v>
      </c>
      <c r="M6" s="121">
        <f>Exploitatie!S19*1.21</f>
        <v>49939.199999999997</v>
      </c>
      <c r="N6" s="29">
        <f t="shared" ref="N6:N39" si="0">SUM(B6:M6)</f>
        <v>599270.40000000002</v>
      </c>
      <c r="P6" s="150" t="s">
        <v>57</v>
      </c>
      <c r="Q6" s="151">
        <f>'Liquiditeit Jaar 2'!Q6</f>
        <v>7.0000000000000007E-2</v>
      </c>
    </row>
    <row r="7" spans="1:17" ht="15.75" customHeight="1" x14ac:dyDescent="0.35">
      <c r="A7" s="117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1"/>
      <c r="N7" s="29">
        <f t="shared" si="0"/>
        <v>0</v>
      </c>
      <c r="P7" s="38"/>
      <c r="Q7" s="34"/>
    </row>
    <row r="8" spans="1:17" ht="15.75" customHeight="1" x14ac:dyDescent="0.35">
      <c r="A8" s="117" t="s">
        <v>21</v>
      </c>
      <c r="B8" s="120">
        <v>0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1">
        <v>0</v>
      </c>
      <c r="N8" s="29">
        <f t="shared" si="0"/>
        <v>0</v>
      </c>
      <c r="P8" s="38"/>
      <c r="Q8" s="34"/>
    </row>
    <row r="9" spans="1:17" ht="15.75" customHeight="1" x14ac:dyDescent="0.35">
      <c r="A9" s="117" t="s">
        <v>77</v>
      </c>
      <c r="B9" s="120">
        <v>0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1">
        <v>0</v>
      </c>
      <c r="N9" s="29">
        <f t="shared" si="0"/>
        <v>0</v>
      </c>
      <c r="P9" s="38"/>
      <c r="Q9" s="34"/>
    </row>
    <row r="10" spans="1:17" ht="15.75" customHeight="1" x14ac:dyDescent="0.35">
      <c r="A10" s="117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/>
      <c r="N10" s="29">
        <f t="shared" si="0"/>
        <v>0</v>
      </c>
      <c r="P10" s="34"/>
      <c r="Q10" s="34"/>
    </row>
    <row r="11" spans="1:17" s="36" customFormat="1" ht="15.75" customHeight="1" x14ac:dyDescent="0.35">
      <c r="A11" s="50" t="s">
        <v>76</v>
      </c>
      <c r="B11" s="122">
        <f t="shared" ref="B11:M11" si="1">SUM(B6:B9)</f>
        <v>49939.199999999997</v>
      </c>
      <c r="C11" s="122">
        <f t="shared" si="1"/>
        <v>49939.199999999997</v>
      </c>
      <c r="D11" s="122">
        <f t="shared" si="1"/>
        <v>49939.199999999997</v>
      </c>
      <c r="E11" s="122">
        <f t="shared" si="1"/>
        <v>49939.199999999997</v>
      </c>
      <c r="F11" s="122">
        <f t="shared" si="1"/>
        <v>49939.199999999997</v>
      </c>
      <c r="G11" s="122">
        <f t="shared" si="1"/>
        <v>49939.199999999997</v>
      </c>
      <c r="H11" s="122">
        <f t="shared" si="1"/>
        <v>49939.199999999997</v>
      </c>
      <c r="I11" s="122">
        <f t="shared" si="1"/>
        <v>49939.199999999997</v>
      </c>
      <c r="J11" s="122">
        <f t="shared" si="1"/>
        <v>49939.199999999997</v>
      </c>
      <c r="K11" s="122">
        <f t="shared" si="1"/>
        <v>49939.199999999997</v>
      </c>
      <c r="L11" s="122">
        <f t="shared" si="1"/>
        <v>49939.199999999997</v>
      </c>
      <c r="M11" s="123">
        <f t="shared" si="1"/>
        <v>49939.199999999997</v>
      </c>
      <c r="N11" s="29">
        <f t="shared" si="0"/>
        <v>599270.40000000002</v>
      </c>
      <c r="P11" s="37"/>
      <c r="Q11" s="37"/>
    </row>
    <row r="12" spans="1:17" ht="15.75" customHeight="1" x14ac:dyDescent="0.25">
      <c r="A12" s="31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30"/>
      <c r="N12" s="29">
        <f t="shared" si="0"/>
        <v>0</v>
      </c>
      <c r="P12" s="34"/>
      <c r="Q12" s="34"/>
    </row>
    <row r="13" spans="1:17" s="36" customFormat="1" ht="15.75" customHeight="1" x14ac:dyDescent="0.35">
      <c r="A13" s="50" t="s">
        <v>92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3"/>
      <c r="N13" s="29">
        <f t="shared" si="0"/>
        <v>0</v>
      </c>
      <c r="P13" s="37"/>
      <c r="Q13" s="37"/>
    </row>
    <row r="14" spans="1:17" ht="15.75" customHeight="1" x14ac:dyDescent="0.35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7"/>
      <c r="N14" s="29">
        <f t="shared" si="0"/>
        <v>0</v>
      </c>
      <c r="P14" s="34"/>
      <c r="Q14" s="34"/>
    </row>
    <row r="15" spans="1:17" ht="15.75" customHeight="1" x14ac:dyDescent="0.35">
      <c r="A15" s="128" t="s">
        <v>75</v>
      </c>
      <c r="B15" s="120">
        <v>0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1">
        <v>0</v>
      </c>
      <c r="N15" s="29">
        <f t="shared" si="0"/>
        <v>0</v>
      </c>
      <c r="P15" s="34"/>
      <c r="Q15" s="34"/>
    </row>
    <row r="16" spans="1:17" ht="15.75" customHeight="1" x14ac:dyDescent="0.35">
      <c r="A16" s="117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1"/>
      <c r="N16" s="29">
        <f t="shared" si="0"/>
        <v>0</v>
      </c>
      <c r="P16" s="34"/>
      <c r="Q16" s="34"/>
    </row>
    <row r="17" spans="1:17" ht="15.75" customHeight="1" x14ac:dyDescent="0.35">
      <c r="A17" s="128" t="str">
        <f>Exploitatie!A12</f>
        <v xml:space="preserve">Inkoop </v>
      </c>
      <c r="B17" s="120">
        <f>Exploitatie!$E$12*B6</f>
        <v>24969.599999999999</v>
      </c>
      <c r="C17" s="120">
        <f>Exploitatie!$E$12*C6</f>
        <v>24969.599999999999</v>
      </c>
      <c r="D17" s="120">
        <f>Exploitatie!$E$12*D6</f>
        <v>24969.599999999999</v>
      </c>
      <c r="E17" s="120">
        <f>Exploitatie!$E$12*E6</f>
        <v>24969.599999999999</v>
      </c>
      <c r="F17" s="120">
        <f>Exploitatie!$E$12*F6</f>
        <v>24969.599999999999</v>
      </c>
      <c r="G17" s="120">
        <f>Exploitatie!$E$12*G6</f>
        <v>24969.599999999999</v>
      </c>
      <c r="H17" s="120">
        <f>Exploitatie!$E$12*H6</f>
        <v>24969.599999999999</v>
      </c>
      <c r="I17" s="120">
        <f>Exploitatie!$E$12*I6</f>
        <v>24969.599999999999</v>
      </c>
      <c r="J17" s="120">
        <f>Exploitatie!$E$12*J6</f>
        <v>24969.599999999999</v>
      </c>
      <c r="K17" s="120">
        <f>Exploitatie!$E$12*K6</f>
        <v>24969.599999999999</v>
      </c>
      <c r="L17" s="120">
        <f>Exploitatie!$E$12*L6</f>
        <v>24969.599999999999</v>
      </c>
      <c r="M17" s="121">
        <f>Exploitatie!$E$12*M6</f>
        <v>24969.599999999999</v>
      </c>
      <c r="N17" s="32">
        <f t="shared" si="0"/>
        <v>299635.20000000001</v>
      </c>
      <c r="P17" s="35"/>
      <c r="Q17" s="34"/>
    </row>
    <row r="18" spans="1:17" ht="15.75" customHeight="1" x14ac:dyDescent="0.35">
      <c r="A18" s="11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21"/>
      <c r="N18" s="29">
        <f t="shared" si="0"/>
        <v>0</v>
      </c>
      <c r="P18" s="35"/>
      <c r="Q18" s="34"/>
    </row>
    <row r="19" spans="1:17" ht="15.75" customHeight="1" x14ac:dyDescent="0.35">
      <c r="A19" s="128" t="s">
        <v>74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29"/>
      <c r="N19" s="29">
        <f t="shared" si="0"/>
        <v>0</v>
      </c>
      <c r="P19" s="35"/>
      <c r="Q19" s="34"/>
    </row>
    <row r="20" spans="1:17" ht="15.75" customHeight="1" x14ac:dyDescent="0.35">
      <c r="A20" s="117" t="s">
        <v>31</v>
      </c>
      <c r="B20" s="118">
        <f>Exploitatie!$D$92/12</f>
        <v>8110.7959999999994</v>
      </c>
      <c r="C20" s="118">
        <f>Exploitatie!$D$92/12</f>
        <v>8110.7959999999994</v>
      </c>
      <c r="D20" s="118">
        <f>Exploitatie!$D$92/12</f>
        <v>8110.7959999999994</v>
      </c>
      <c r="E20" s="118">
        <f>Exploitatie!$D$92/12</f>
        <v>8110.7959999999994</v>
      </c>
      <c r="F20" s="118">
        <f>Exploitatie!$D$92/12</f>
        <v>8110.7959999999994</v>
      </c>
      <c r="G20" s="118">
        <f>Exploitatie!$D$92/12</f>
        <v>8110.7959999999994</v>
      </c>
      <c r="H20" s="118">
        <f>Exploitatie!$D$92/12</f>
        <v>8110.7959999999994</v>
      </c>
      <c r="I20" s="118">
        <f>Exploitatie!$D$92/12</f>
        <v>8110.7959999999994</v>
      </c>
      <c r="J20" s="118">
        <f>Exploitatie!$D$92/12</f>
        <v>8110.7959999999994</v>
      </c>
      <c r="K20" s="118">
        <f>Exploitatie!$D$92/12</f>
        <v>8110.7959999999994</v>
      </c>
      <c r="L20" s="118">
        <f>Exploitatie!$D$92/12</f>
        <v>8110.7959999999994</v>
      </c>
      <c r="M20" s="121">
        <f>Exploitatie!$D$92/12</f>
        <v>8110.7959999999994</v>
      </c>
      <c r="N20" s="29">
        <f t="shared" si="0"/>
        <v>97329.552000000011</v>
      </c>
      <c r="P20" s="34"/>
      <c r="Q20" s="34"/>
    </row>
    <row r="21" spans="1:17" ht="15.75" customHeight="1" x14ac:dyDescent="0.35">
      <c r="A21" s="117" t="s">
        <v>30</v>
      </c>
      <c r="B21" s="118">
        <f>Exploitatie!$D$93/12*1.21</f>
        <v>818.27460000000008</v>
      </c>
      <c r="C21" s="118">
        <f>Exploitatie!$D$93/12*1.21</f>
        <v>818.27460000000008</v>
      </c>
      <c r="D21" s="118">
        <f>Exploitatie!$D$93/12*1.21</f>
        <v>818.27460000000008</v>
      </c>
      <c r="E21" s="118">
        <f>Exploitatie!$D$93/12*1.21</f>
        <v>818.27460000000008</v>
      </c>
      <c r="F21" s="118">
        <f>Exploitatie!$D$93/12*1.21</f>
        <v>818.27460000000008</v>
      </c>
      <c r="G21" s="118">
        <f>Exploitatie!$D$93/12*1.21</f>
        <v>818.27460000000008</v>
      </c>
      <c r="H21" s="118">
        <f>Exploitatie!$D$93/12*1.21</f>
        <v>818.27460000000008</v>
      </c>
      <c r="I21" s="118">
        <f>Exploitatie!$D$93/12*1.21</f>
        <v>818.27460000000008</v>
      </c>
      <c r="J21" s="118">
        <f>Exploitatie!$D$93/12*1.21</f>
        <v>818.27460000000008</v>
      </c>
      <c r="K21" s="118">
        <f>Exploitatie!$D$93/12*1.21</f>
        <v>818.27460000000008</v>
      </c>
      <c r="L21" s="118">
        <f>Exploitatie!$D$93/12*1.21</f>
        <v>818.27460000000008</v>
      </c>
      <c r="M21" s="121">
        <f>Exploitatie!$D$93/12*1.21</f>
        <v>818.27460000000008</v>
      </c>
      <c r="N21" s="29">
        <f t="shared" si="0"/>
        <v>9819.2952000000005</v>
      </c>
      <c r="P21" s="34"/>
      <c r="Q21" s="34"/>
    </row>
    <row r="22" spans="1:17" ht="15.75" customHeight="1" x14ac:dyDescent="0.35">
      <c r="A22" s="117" t="s">
        <v>29</v>
      </c>
      <c r="B22" s="118">
        <f>Exploitatie!$D$94/12*1.21</f>
        <v>3210.1542000000004</v>
      </c>
      <c r="C22" s="118">
        <f>Exploitatie!$D$94/12*1.21</f>
        <v>3210.1542000000004</v>
      </c>
      <c r="D22" s="118">
        <f>Exploitatie!$D$94/12*1.21</f>
        <v>3210.1542000000004</v>
      </c>
      <c r="E22" s="118">
        <f>Exploitatie!$D$94/12*1.21</f>
        <v>3210.1542000000004</v>
      </c>
      <c r="F22" s="118">
        <f>Exploitatie!$D$94/12*1.21</f>
        <v>3210.1542000000004</v>
      </c>
      <c r="G22" s="118">
        <f>Exploitatie!$D$94/12*1.21</f>
        <v>3210.1542000000004</v>
      </c>
      <c r="H22" s="118">
        <f>Exploitatie!$D$94/12*1.21</f>
        <v>3210.1542000000004</v>
      </c>
      <c r="I22" s="118">
        <f>Exploitatie!$D$94/12*1.21</f>
        <v>3210.1542000000004</v>
      </c>
      <c r="J22" s="118">
        <f>Exploitatie!$D$94/12*1.21</f>
        <v>3210.1542000000004</v>
      </c>
      <c r="K22" s="118">
        <f>Exploitatie!$D$94/12*1.21</f>
        <v>3210.1542000000004</v>
      </c>
      <c r="L22" s="118">
        <f>Exploitatie!$D$94/12*1.21</f>
        <v>3210.1542000000004</v>
      </c>
      <c r="M22" s="121">
        <f>Exploitatie!$D$94/12*1.21</f>
        <v>3210.1542000000004</v>
      </c>
      <c r="N22" s="29">
        <f t="shared" si="0"/>
        <v>38521.850400000003</v>
      </c>
      <c r="P22" s="34"/>
      <c r="Q22" s="34"/>
    </row>
    <row r="23" spans="1:17" ht="15.75" customHeight="1" x14ac:dyDescent="0.35">
      <c r="A23" s="117" t="s">
        <v>28</v>
      </c>
      <c r="B23" s="118">
        <f>Exploitatie!$D$95/12*1.21</f>
        <v>1367.3605</v>
      </c>
      <c r="C23" s="118">
        <f>Exploitatie!$D$95/12*1.21</f>
        <v>1367.3605</v>
      </c>
      <c r="D23" s="118">
        <f>Exploitatie!$D$95/12*1.21</f>
        <v>1367.3605</v>
      </c>
      <c r="E23" s="118">
        <f>Exploitatie!$D$95/12*1.21</f>
        <v>1367.3605</v>
      </c>
      <c r="F23" s="118">
        <f>Exploitatie!$D$95/12*1.21</f>
        <v>1367.3605</v>
      </c>
      <c r="G23" s="118">
        <f>Exploitatie!$D$95/12*1.21</f>
        <v>1367.3605</v>
      </c>
      <c r="H23" s="118">
        <f>Exploitatie!$D$95/12*1.21</f>
        <v>1367.3605</v>
      </c>
      <c r="I23" s="118">
        <f>Exploitatie!$D$95/12*1.21</f>
        <v>1367.3605</v>
      </c>
      <c r="J23" s="118">
        <f>Exploitatie!$D$95/12*1.21</f>
        <v>1367.3605</v>
      </c>
      <c r="K23" s="118">
        <f>Exploitatie!$D$95/12*1.21</f>
        <v>1367.3605</v>
      </c>
      <c r="L23" s="118">
        <f>Exploitatie!$D$95/12*1.21</f>
        <v>1367.3605</v>
      </c>
      <c r="M23" s="121">
        <f>Exploitatie!$D$95/12*1.21</f>
        <v>1367.3605</v>
      </c>
      <c r="N23" s="29">
        <f t="shared" si="0"/>
        <v>16408.326000000005</v>
      </c>
      <c r="P23" s="34"/>
      <c r="Q23" s="34"/>
    </row>
    <row r="24" spans="1:17" ht="15.75" customHeight="1" x14ac:dyDescent="0.35">
      <c r="A24" s="117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21"/>
      <c r="N24" s="29">
        <f t="shared" si="0"/>
        <v>0</v>
      </c>
      <c r="P24" s="34"/>
      <c r="Q24" s="34"/>
    </row>
    <row r="25" spans="1:17" ht="15.75" customHeight="1" x14ac:dyDescent="0.35">
      <c r="A25" s="128" t="s">
        <v>73</v>
      </c>
      <c r="B25" s="118"/>
      <c r="C25" s="118"/>
      <c r="D25" s="118"/>
      <c r="E25" s="131"/>
      <c r="F25" s="118"/>
      <c r="G25" s="118"/>
      <c r="H25" s="118"/>
      <c r="I25" s="118"/>
      <c r="J25" s="118"/>
      <c r="K25" s="118"/>
      <c r="L25" s="118"/>
      <c r="M25" s="121"/>
      <c r="N25" s="29">
        <f t="shared" si="0"/>
        <v>0</v>
      </c>
    </row>
    <row r="26" spans="1:17" ht="15.75" customHeight="1" x14ac:dyDescent="0.35">
      <c r="A26" s="117" t="s">
        <v>72</v>
      </c>
      <c r="B26" s="118">
        <v>0</v>
      </c>
      <c r="C26" s="118">
        <v>0</v>
      </c>
      <c r="D26" s="118">
        <f>Q5</f>
        <v>3750</v>
      </c>
      <c r="E26" s="118">
        <v>0</v>
      </c>
      <c r="F26" s="118">
        <v>0</v>
      </c>
      <c r="G26" s="118">
        <f>Q5</f>
        <v>3750</v>
      </c>
      <c r="H26" s="118">
        <v>0</v>
      </c>
      <c r="I26" s="118">
        <v>0</v>
      </c>
      <c r="J26" s="118">
        <f>Q5</f>
        <v>3750</v>
      </c>
      <c r="K26" s="118">
        <v>0</v>
      </c>
      <c r="L26" s="118">
        <v>0</v>
      </c>
      <c r="M26" s="121">
        <f>Q5</f>
        <v>3750</v>
      </c>
      <c r="N26" s="29">
        <f t="shared" si="0"/>
        <v>15000</v>
      </c>
    </row>
    <row r="27" spans="1:17" ht="15.75" customHeight="1" x14ac:dyDescent="0.35">
      <c r="A27" s="117" t="s">
        <v>71</v>
      </c>
      <c r="B27" s="118">
        <f>(($Q4-8*$Q5)*$Q6)/12</f>
        <v>262.50000000000006</v>
      </c>
      <c r="C27" s="118">
        <f>(($Q4-8*$Q5)*$Q6)/12</f>
        <v>262.50000000000006</v>
      </c>
      <c r="D27" s="118">
        <f>(($Q4-8*$Q5)*$Q6)/12</f>
        <v>262.50000000000006</v>
      </c>
      <c r="E27" s="118">
        <f>(($Q4-9*$Q5)*$Q6)/12</f>
        <v>240.62500000000003</v>
      </c>
      <c r="F27" s="118">
        <f>(($Q4-9*$Q5)*$Q6)/12</f>
        <v>240.62500000000003</v>
      </c>
      <c r="G27" s="118">
        <f>(($Q4-9*$Q5)*$Q6)/12</f>
        <v>240.62500000000003</v>
      </c>
      <c r="H27" s="118">
        <f>(($Q4-10*$Q5)*$Q6)/12</f>
        <v>218.75000000000003</v>
      </c>
      <c r="I27" s="118">
        <f>(($Q4-10*$Q5)*$Q6)/12</f>
        <v>218.75000000000003</v>
      </c>
      <c r="J27" s="118">
        <f>(($Q4-10*$Q5)*$Q6)/12</f>
        <v>218.75000000000003</v>
      </c>
      <c r="K27" s="118">
        <f>(($Q4-11*$Q5)*$Q6)/12</f>
        <v>196.875</v>
      </c>
      <c r="L27" s="118">
        <f>(($Q4-11*$Q5)*$Q6)/12</f>
        <v>196.875</v>
      </c>
      <c r="M27" s="121">
        <f>(($Q4-11*$Q5)*$Q6)/12</f>
        <v>196.875</v>
      </c>
      <c r="N27" s="29">
        <f t="shared" si="0"/>
        <v>2756.2500000000005</v>
      </c>
    </row>
    <row r="28" spans="1:17" ht="15.75" customHeight="1" x14ac:dyDescent="0.35">
      <c r="A28" s="117" t="str">
        <f>'Liquiditeit Jaar 2'!A28</f>
        <v>Rentekosten kort vreemd vermogen</v>
      </c>
      <c r="B28" s="120">
        <v>0</v>
      </c>
      <c r="C28" s="120">
        <v>0</v>
      </c>
      <c r="D28" s="120">
        <v>0</v>
      </c>
      <c r="E28" s="120">
        <v>0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  <c r="K28" s="120">
        <v>0</v>
      </c>
      <c r="L28" s="120">
        <v>0</v>
      </c>
      <c r="M28" s="121">
        <v>0</v>
      </c>
      <c r="N28" s="29">
        <f t="shared" si="0"/>
        <v>0</v>
      </c>
    </row>
    <row r="29" spans="1:17" ht="15.75" customHeight="1" x14ac:dyDescent="0.35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21"/>
      <c r="N29" s="29">
        <f t="shared" si="0"/>
        <v>0</v>
      </c>
    </row>
    <row r="30" spans="1:17" ht="15.75" customHeight="1" x14ac:dyDescent="0.35">
      <c r="A30" s="128" t="s">
        <v>69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21"/>
      <c r="N30" s="29">
        <f t="shared" si="0"/>
        <v>0</v>
      </c>
    </row>
    <row r="31" spans="1:17" ht="15.75" customHeight="1" x14ac:dyDescent="0.35">
      <c r="A31" s="117" t="str">
        <f>'Liquiditeit Jaar 2'!A31</f>
        <v>Vennootschapsbelasting</v>
      </c>
      <c r="B31" s="118">
        <f>Exploitatie!$D$67/12</f>
        <v>1317.881715991736</v>
      </c>
      <c r="C31" s="118">
        <f>Exploitatie!$D$67/12</f>
        <v>1317.881715991736</v>
      </c>
      <c r="D31" s="118">
        <f>Exploitatie!$D$67/12</f>
        <v>1317.881715991736</v>
      </c>
      <c r="E31" s="118">
        <f>Exploitatie!$D$67/12</f>
        <v>1317.881715991736</v>
      </c>
      <c r="F31" s="118">
        <f>Exploitatie!$D$67/12</f>
        <v>1317.881715991736</v>
      </c>
      <c r="G31" s="118">
        <f>Exploitatie!$D$67/12</f>
        <v>1317.881715991736</v>
      </c>
      <c r="H31" s="118">
        <f>Exploitatie!$D$67/12</f>
        <v>1317.881715991736</v>
      </c>
      <c r="I31" s="118">
        <f>Exploitatie!$D$67/12</f>
        <v>1317.881715991736</v>
      </c>
      <c r="J31" s="118">
        <f>Exploitatie!$D$67/12</f>
        <v>1317.881715991736</v>
      </c>
      <c r="K31" s="118">
        <f>Exploitatie!$D$67/12</f>
        <v>1317.881715991736</v>
      </c>
      <c r="L31" s="118">
        <f>Exploitatie!$D$67/12</f>
        <v>1317.881715991736</v>
      </c>
      <c r="M31" s="121">
        <f>Exploitatie!$D$67/12</f>
        <v>1317.881715991736</v>
      </c>
      <c r="N31" s="29">
        <f t="shared" si="0"/>
        <v>15814.580591900833</v>
      </c>
    </row>
    <row r="32" spans="1:17" ht="15.75" customHeight="1" x14ac:dyDescent="0.35">
      <c r="A32" s="117" t="s">
        <v>68</v>
      </c>
      <c r="B32" s="118">
        <f>SUM('Liquiditeit Jaar 2'!K44:M44)</f>
        <v>9287.5275365135021</v>
      </c>
      <c r="C32" s="118">
        <v>0</v>
      </c>
      <c r="D32" s="118">
        <v>0</v>
      </c>
      <c r="E32" s="118">
        <f>SUM(B44:D44)</f>
        <v>10191.321810253767</v>
      </c>
      <c r="F32" s="118">
        <v>0</v>
      </c>
      <c r="G32" s="118">
        <v>0</v>
      </c>
      <c r="H32" s="118">
        <f>SUM(E44:G44)</f>
        <v>10191.321810253767</v>
      </c>
      <c r="I32" s="118">
        <v>0</v>
      </c>
      <c r="J32" s="118">
        <v>0</v>
      </c>
      <c r="K32" s="118">
        <f>SUM(H44:J44)</f>
        <v>10191.321810253767</v>
      </c>
      <c r="L32" s="118">
        <v>0</v>
      </c>
      <c r="M32" s="121">
        <v>0</v>
      </c>
      <c r="N32" s="29">
        <f t="shared" si="0"/>
        <v>39861.492967274797</v>
      </c>
    </row>
    <row r="33" spans="1:14" ht="15.75" customHeight="1" x14ac:dyDescent="0.25">
      <c r="A33" s="31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30"/>
      <c r="N33" s="29">
        <f t="shared" si="0"/>
        <v>0</v>
      </c>
    </row>
    <row r="34" spans="1:14" ht="15.75" customHeight="1" x14ac:dyDescent="0.35">
      <c r="A34" s="50" t="s">
        <v>67</v>
      </c>
      <c r="B34" s="122">
        <f>SUM(B15:B33)</f>
        <v>49344.094552505238</v>
      </c>
      <c r="C34" s="122">
        <f>SUM(C15:C33)</f>
        <v>40056.567015991735</v>
      </c>
      <c r="D34" s="122">
        <f>SUM(D15:D33)</f>
        <v>43806.567015991735</v>
      </c>
      <c r="E34" s="122">
        <f>SUM(E15:E33)</f>
        <v>50226.0138262455</v>
      </c>
      <c r="F34" s="122">
        <f>SUM(F15:F33)</f>
        <v>40034.692015991735</v>
      </c>
      <c r="G34" s="122">
        <f>SUM(G15:G33)</f>
        <v>43784.692015991735</v>
      </c>
      <c r="H34" s="122">
        <f>SUM(H15:H33)</f>
        <v>50204.1388262455</v>
      </c>
      <c r="I34" s="122">
        <f>SUM(I15:I33)</f>
        <v>40012.817015991735</v>
      </c>
      <c r="J34" s="122">
        <f>SUM(J15:J33)</f>
        <v>43762.817015991735</v>
      </c>
      <c r="K34" s="122">
        <f>SUM(K15:K33)</f>
        <v>50182.2638262455</v>
      </c>
      <c r="L34" s="122">
        <f>SUM(L15:L33)</f>
        <v>39990.942015991735</v>
      </c>
      <c r="M34" s="123">
        <f>SUM(M15:M33)</f>
        <v>43740.942015991735</v>
      </c>
      <c r="N34" s="29">
        <f t="shared" si="0"/>
        <v>535146.54715917562</v>
      </c>
    </row>
    <row r="35" spans="1:14" ht="15.75" customHeight="1" x14ac:dyDescent="0.35">
      <c r="A35" s="132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4"/>
      <c r="N35" s="29">
        <f t="shared" si="0"/>
        <v>0</v>
      </c>
    </row>
    <row r="36" spans="1:14" ht="15.75" customHeight="1" x14ac:dyDescent="0.35">
      <c r="A36" s="117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35"/>
      <c r="N36" s="29">
        <f t="shared" si="0"/>
        <v>0</v>
      </c>
    </row>
    <row r="37" spans="1:14" ht="15.75" customHeight="1" x14ac:dyDescent="0.35">
      <c r="A37" s="136" t="s">
        <v>66</v>
      </c>
      <c r="B37" s="137">
        <f>'Liquiditeit Jaar 2'!M39</f>
        <v>75623.406893933046</v>
      </c>
      <c r="C37" s="137">
        <f t="shared" ref="C37:M37" si="2">B39</f>
        <v>76218.512341427806</v>
      </c>
      <c r="D37" s="137">
        <f t="shared" si="2"/>
        <v>86101.145325436068</v>
      </c>
      <c r="E37" s="137">
        <f t="shared" si="2"/>
        <v>92233.778309444329</v>
      </c>
      <c r="F37" s="137">
        <f t="shared" si="2"/>
        <v>91946.964483198826</v>
      </c>
      <c r="G37" s="137">
        <f t="shared" si="2"/>
        <v>101851.47246720709</v>
      </c>
      <c r="H37" s="137">
        <f t="shared" si="2"/>
        <v>108005.98045121535</v>
      </c>
      <c r="I37" s="137">
        <f t="shared" si="2"/>
        <v>107741.04162496985</v>
      </c>
      <c r="J37" s="137">
        <f t="shared" si="2"/>
        <v>117667.42460897811</v>
      </c>
      <c r="K37" s="137">
        <f t="shared" si="2"/>
        <v>123843.80759298637</v>
      </c>
      <c r="L37" s="137">
        <f t="shared" si="2"/>
        <v>123600.74376674087</v>
      </c>
      <c r="M37" s="121">
        <f t="shared" si="2"/>
        <v>133549.00175074913</v>
      </c>
      <c r="N37" s="29">
        <f t="shared" si="0"/>
        <v>1238383.2796162867</v>
      </c>
    </row>
    <row r="38" spans="1:14" ht="15.75" customHeight="1" x14ac:dyDescent="0.35">
      <c r="A38" s="138" t="s">
        <v>65</v>
      </c>
      <c r="B38" s="139">
        <f>B11-B34</f>
        <v>595.10544749475957</v>
      </c>
      <c r="C38" s="139">
        <f>C11-C34</f>
        <v>9882.6329840082617</v>
      </c>
      <c r="D38" s="139">
        <f>D11-D34</f>
        <v>6132.6329840082617</v>
      </c>
      <c r="E38" s="139">
        <f>E11-E34</f>
        <v>-286.81382624550315</v>
      </c>
      <c r="F38" s="139">
        <f>F11-F34</f>
        <v>9904.5079840082617</v>
      </c>
      <c r="G38" s="139">
        <f>G11-G34</f>
        <v>6154.5079840082617</v>
      </c>
      <c r="H38" s="139">
        <f>H11-H34</f>
        <v>-264.93882624550315</v>
      </c>
      <c r="I38" s="139">
        <f>I11-I34</f>
        <v>9926.3829840082617</v>
      </c>
      <c r="J38" s="139">
        <f>J11-J34</f>
        <v>6176.3829840082617</v>
      </c>
      <c r="K38" s="139">
        <f>K11-K34</f>
        <v>-243.06382624550315</v>
      </c>
      <c r="L38" s="139">
        <f>L11-L34</f>
        <v>9948.2579840082617</v>
      </c>
      <c r="M38" s="140">
        <f>M11-M34</f>
        <v>6198.2579840082617</v>
      </c>
      <c r="N38" s="29">
        <f t="shared" si="0"/>
        <v>64123.852840824344</v>
      </c>
    </row>
    <row r="39" spans="1:14" ht="15.75" customHeight="1" x14ac:dyDescent="0.35">
      <c r="A39" s="141" t="s">
        <v>64</v>
      </c>
      <c r="B39" s="142">
        <f t="shared" ref="B39:M39" si="3">B37+B38</f>
        <v>76218.512341427806</v>
      </c>
      <c r="C39" s="142">
        <f t="shared" si="3"/>
        <v>86101.145325436068</v>
      </c>
      <c r="D39" s="142">
        <f t="shared" si="3"/>
        <v>92233.778309444329</v>
      </c>
      <c r="E39" s="142">
        <f t="shared" si="3"/>
        <v>91946.964483198826</v>
      </c>
      <c r="F39" s="142">
        <f t="shared" si="3"/>
        <v>101851.47246720709</v>
      </c>
      <c r="G39" s="142">
        <f t="shared" si="3"/>
        <v>108005.98045121535</v>
      </c>
      <c r="H39" s="142">
        <f t="shared" si="3"/>
        <v>107741.04162496985</v>
      </c>
      <c r="I39" s="142">
        <f t="shared" si="3"/>
        <v>117667.42460897811</v>
      </c>
      <c r="J39" s="142">
        <f t="shared" si="3"/>
        <v>123843.80759298637</v>
      </c>
      <c r="K39" s="142">
        <f t="shared" si="3"/>
        <v>123600.74376674087</v>
      </c>
      <c r="L39" s="142">
        <f t="shared" si="3"/>
        <v>133549.00175074913</v>
      </c>
      <c r="M39" s="143">
        <f t="shared" si="3"/>
        <v>139747.25973475739</v>
      </c>
      <c r="N39" s="29">
        <f t="shared" si="0"/>
        <v>1302507.1324571113</v>
      </c>
    </row>
    <row r="40" spans="1:14" ht="15.75" customHeight="1" x14ac:dyDescent="0.35">
      <c r="A40" s="45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</row>
    <row r="41" spans="1:14" ht="15.75" customHeight="1" thickBot="1" x14ac:dyDescent="0.4">
      <c r="A41" s="45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4" ht="15.75" customHeight="1" x14ac:dyDescent="0.35">
      <c r="A42" s="136" t="s">
        <v>63</v>
      </c>
      <c r="B42" s="137">
        <f>(B6)*0.1735537</f>
        <v>8667.1329350399992</v>
      </c>
      <c r="C42" s="137">
        <f>(C6)*0.1735537</f>
        <v>8667.1329350399992</v>
      </c>
      <c r="D42" s="137">
        <f>(D6)*0.1735537</f>
        <v>8667.1329350399992</v>
      </c>
      <c r="E42" s="137">
        <f>(E6)*0.1735537</f>
        <v>8667.1329350399992</v>
      </c>
      <c r="F42" s="137">
        <f>(F6)*0.1735537</f>
        <v>8667.1329350399992</v>
      </c>
      <c r="G42" s="137">
        <f>(G6)*0.1735537</f>
        <v>8667.1329350399992</v>
      </c>
      <c r="H42" s="137">
        <f>(H6)*0.1735537</f>
        <v>8667.1329350399992</v>
      </c>
      <c r="I42" s="137">
        <f>(I6)*0.1735537</f>
        <v>8667.1329350399992</v>
      </c>
      <c r="J42" s="137">
        <f>(J6)*0.1735537</f>
        <v>8667.1329350399992</v>
      </c>
      <c r="K42" s="137">
        <f>(K6)*0.1735537</f>
        <v>8667.1329350399992</v>
      </c>
      <c r="L42" s="137">
        <f>(L6)*0.1735537</f>
        <v>8667.1329350399992</v>
      </c>
      <c r="M42" s="144">
        <f>(M6)*0.1735537</f>
        <v>8667.1329350399992</v>
      </c>
      <c r="N42" s="27"/>
    </row>
    <row r="43" spans="1:14" ht="15.75" customHeight="1" x14ac:dyDescent="0.35">
      <c r="A43" s="138" t="s">
        <v>62</v>
      </c>
      <c r="B43" s="139">
        <f>(B15+B17+B21+B22+B23)*0.1735537</f>
        <v>5270.0256649554103</v>
      </c>
      <c r="C43" s="139">
        <f>(C15+C17+C21+C22+C23)*0.1735537</f>
        <v>5270.0256649554103</v>
      </c>
      <c r="D43" s="139">
        <f>(D15+D17+D21+D22+D23)*0.1735537</f>
        <v>5270.0256649554103</v>
      </c>
      <c r="E43" s="139">
        <f>(E15+E17+E21+E22+E23)*0.1735537</f>
        <v>5270.0256649554103</v>
      </c>
      <c r="F43" s="139">
        <f>(F15+F17+F21+F22+F23)*0.1735537</f>
        <v>5270.0256649554103</v>
      </c>
      <c r="G43" s="139">
        <f>(G15+G17+G21+G22+G23)*0.1735537</f>
        <v>5270.0256649554103</v>
      </c>
      <c r="H43" s="139">
        <f>(H15+H17+H21+H22+H23)*0.1735537</f>
        <v>5270.0256649554103</v>
      </c>
      <c r="I43" s="139">
        <f>(I15+I17+I21+I22+I23)*0.1735537</f>
        <v>5270.0256649554103</v>
      </c>
      <c r="J43" s="139">
        <f>(J15+J17+J21+J22+J23)*0.1735537</f>
        <v>5270.0256649554103</v>
      </c>
      <c r="K43" s="139">
        <f>(K15+K17+K21+K22+K23)*0.1735537</f>
        <v>5270.0256649554103</v>
      </c>
      <c r="L43" s="139">
        <f>(L15+L17+L21+L22+L23)*0.1735537</f>
        <v>5270.0256649554103</v>
      </c>
      <c r="M43" s="140">
        <f>(M15+M17+M21+M22+M23)*0.1735537</f>
        <v>5270.0256649554103</v>
      </c>
      <c r="N43" s="26"/>
    </row>
    <row r="44" spans="1:14" ht="15.75" customHeight="1" x14ac:dyDescent="0.35">
      <c r="A44" s="141" t="s">
        <v>61</v>
      </c>
      <c r="B44" s="142">
        <f t="shared" ref="B44:M44" si="4">B42-B43</f>
        <v>3397.1072700845889</v>
      </c>
      <c r="C44" s="142">
        <f t="shared" si="4"/>
        <v>3397.1072700845889</v>
      </c>
      <c r="D44" s="142">
        <f t="shared" si="4"/>
        <v>3397.1072700845889</v>
      </c>
      <c r="E44" s="142">
        <f t="shared" si="4"/>
        <v>3397.1072700845889</v>
      </c>
      <c r="F44" s="142">
        <f t="shared" si="4"/>
        <v>3397.1072700845889</v>
      </c>
      <c r="G44" s="142">
        <f t="shared" si="4"/>
        <v>3397.1072700845889</v>
      </c>
      <c r="H44" s="142">
        <f t="shared" si="4"/>
        <v>3397.1072700845889</v>
      </c>
      <c r="I44" s="142">
        <f t="shared" si="4"/>
        <v>3397.1072700845889</v>
      </c>
      <c r="J44" s="142">
        <f t="shared" si="4"/>
        <v>3397.1072700845889</v>
      </c>
      <c r="K44" s="142">
        <f t="shared" si="4"/>
        <v>3397.1072700845889</v>
      </c>
      <c r="L44" s="142">
        <f t="shared" si="4"/>
        <v>3397.1072700845889</v>
      </c>
      <c r="M44" s="143">
        <f t="shared" si="4"/>
        <v>3397.1072700845889</v>
      </c>
    </row>
    <row r="45" spans="1:14" ht="15" x14ac:dyDescent="0.25">
      <c r="A45" s="3"/>
      <c r="B45" s="3"/>
      <c r="C45" s="3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51" spans="1:6" x14ac:dyDescent="0.2">
      <c r="A51" s="24"/>
      <c r="E51" s="23"/>
      <c r="F51" s="23"/>
    </row>
    <row r="60" spans="1:6" x14ac:dyDescent="0.2">
      <c r="D60" s="23"/>
      <c r="E60" s="23"/>
      <c r="F60" s="23"/>
    </row>
    <row r="65" spans="4:6" x14ac:dyDescent="0.2">
      <c r="D65" s="23"/>
      <c r="E65" s="23"/>
      <c r="F65" s="23"/>
    </row>
    <row r="93" spans="4:5" ht="15.75" x14ac:dyDescent="0.25">
      <c r="D93" s="22"/>
      <c r="E93" s="21"/>
    </row>
    <row r="100" spans="4:6" x14ac:dyDescent="0.2">
      <c r="D100" s="20"/>
      <c r="E100" s="20"/>
      <c r="F100" s="20"/>
    </row>
  </sheetData>
  <pageMargins left="0.74803149606299213" right="0.74803149606299213" top="0.98425196850393704" bottom="0.98425196850393704" header="0.51181102362204722" footer="0.51181102362204722"/>
  <pageSetup paperSize="9" scale="5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Investering</vt:lpstr>
      <vt:lpstr>Financiering</vt:lpstr>
      <vt:lpstr>Exploitatie</vt:lpstr>
      <vt:lpstr>Liquiditeit Jaar 1</vt:lpstr>
      <vt:lpstr>Liquiditeit Jaar 2</vt:lpstr>
      <vt:lpstr>Liquiditeit Jaar 3</vt:lpstr>
    </vt:vector>
  </TitlesOfParts>
  <Company>Vinny27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Coenen</dc:creator>
  <cp:lastModifiedBy>Credo Ondernemingsplan</cp:lastModifiedBy>
  <dcterms:created xsi:type="dcterms:W3CDTF">2014-09-24T07:28:16Z</dcterms:created>
  <dcterms:modified xsi:type="dcterms:W3CDTF">2024-11-27T12:18:09Z</dcterms:modified>
</cp:coreProperties>
</file>